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add-serv64.lkcelle.de\RIB\iTWO\2025\iTWOPlanen\Documents\103_SG_Lachendorf\01\2026-STRAS-01_P1_V1\StammVgV\SC\026-103-703_P1\1\"/>
    </mc:Choice>
  </mc:AlternateContent>
  <xr:revisionPtr revIDLastSave="0" documentId="13_ncr:1_{42FA4FED-DEEB-4281-8D2B-D4BA0D524DE0}" xr6:coauthVersionLast="47" xr6:coauthVersionMax="47" xr10:uidLastSave="{00000000-0000-0000-0000-000000000000}"/>
  <bookViews>
    <workbookView xWindow="-120" yWindow="-120" windowWidth="29040" windowHeight="15720" tabRatio="852" xr2:uid="{00000000-000D-0000-FFFF-FFFF00000000}"/>
  </bookViews>
  <sheets>
    <sheet name="Angebotsübersicht" sheetId="46" r:id="rId1"/>
    <sheet name="Zusatzleistungen" sheetId="115" r:id="rId2"/>
    <sheet name="SVS Unterhaltsreinigung" sheetId="133" r:id="rId3"/>
    <sheet name="SVS Grundreinigung" sheetId="134" r:id="rId4"/>
    <sheet name="Reinigungstage" sheetId="117" r:id="rId5"/>
    <sheet name="Leistungswerte" sheetId="63" r:id="rId6"/>
    <sheet name="Objekt (11)" sheetId="118" r:id="rId7"/>
    <sheet name="Objekt (12)" sheetId="119" r:id="rId8"/>
    <sheet name="Objekt (13)" sheetId="120" r:id="rId9"/>
    <sheet name="Objekt (14)" sheetId="121" r:id="rId10"/>
    <sheet name="Objekt (15)" sheetId="122" r:id="rId11"/>
    <sheet name="Objekt (16)" sheetId="123" r:id="rId12"/>
    <sheet name="Objekt (17)" sheetId="124" r:id="rId13"/>
    <sheet name="Objekt (18)" sheetId="125" r:id="rId14"/>
    <sheet name="Objekt (19)" sheetId="126" r:id="rId15"/>
    <sheet name="Objekt (20)" sheetId="127" r:id="rId16"/>
    <sheet name="Objekt (21)" sheetId="128" r:id="rId17"/>
    <sheet name="Objekt (22)" sheetId="129" r:id="rId18"/>
    <sheet name="Objekt (23)" sheetId="130" r:id="rId19"/>
    <sheet name="Objekt (24)" sheetId="131" r:id="rId20"/>
    <sheet name="Objekt (25)" sheetId="132" r:id="rId21"/>
  </sheets>
  <definedNames>
    <definedName name="_xlnm._FilterDatabase" localSheetId="0" hidden="1">Angebotsübersicht!$A$9:$I$40</definedName>
    <definedName name="_xlnm._FilterDatabase" localSheetId="5" hidden="1">Leistungswerte!$A$7:$F$54</definedName>
    <definedName name="_xlnm._FilterDatabase" localSheetId="6" hidden="1">'Objekt (11)'!$A$21:$Q$75</definedName>
    <definedName name="_xlnm._FilterDatabase" localSheetId="7" hidden="1">'Objekt (12)'!$A$21:$Q$92</definedName>
    <definedName name="_xlnm._FilterDatabase" localSheetId="8" hidden="1">'Objekt (13)'!$A$21:$Q$92</definedName>
    <definedName name="_xlnm._FilterDatabase" localSheetId="9" hidden="1">'Objekt (14)'!$A$21:$Q$44</definedName>
    <definedName name="_xlnm._FilterDatabase" localSheetId="10" hidden="1">'Objekt (15)'!$A$21:$Q$37</definedName>
    <definedName name="_xlnm._FilterDatabase" localSheetId="11" hidden="1">'Objekt (16)'!$A$21:$Q$43</definedName>
    <definedName name="_xlnm._FilterDatabase" localSheetId="12" hidden="1">'Objekt (17)'!$A$21:$Q$47</definedName>
    <definedName name="_xlnm._FilterDatabase" localSheetId="13" hidden="1">'Objekt (18)'!$A$21:$Q$33</definedName>
    <definedName name="_xlnm._FilterDatabase" localSheetId="14" hidden="1">'Objekt (19)'!$A$21:$Q$27</definedName>
    <definedName name="_xlnm._FilterDatabase" localSheetId="15" hidden="1">'Objekt (20)'!$A$21:$Q$32</definedName>
    <definedName name="_xlnm._FilterDatabase" localSheetId="16" hidden="1">'Objekt (21)'!$A$21:$Q$26</definedName>
    <definedName name="_xlnm._FilterDatabase" localSheetId="17" hidden="1">'Objekt (22)'!$A$21:$Q$28</definedName>
    <definedName name="_xlnm._FilterDatabase" localSheetId="18" hidden="1">'Objekt (23)'!$A$21:$Q$32</definedName>
    <definedName name="_xlnm._FilterDatabase" localSheetId="19" hidden="1">'Objekt (24)'!$A$21:$Q$27</definedName>
    <definedName name="_xlnm._FilterDatabase" localSheetId="20" hidden="1">'Objekt (25)'!$A$21:$Q$38</definedName>
    <definedName name="_xlnm._FilterDatabase" localSheetId="1" hidden="1">Zusatzleistungen!$A$9:$F$21</definedName>
    <definedName name="Angebotsdatum">Angebotsübersicht!$B$79</definedName>
    <definedName name="Bieter">Angebotsübersicht!$G$5</definedName>
    <definedName name="Brutto">Angebotsübersicht!$I$40</definedName>
    <definedName name="_xlnm.Print_Area" localSheetId="0">Angebotsübersicht!$A:$I</definedName>
    <definedName name="_xlnm.Print_Titles" localSheetId="6">'Objekt (11)'!$20:$22</definedName>
    <definedName name="_xlnm.Print_Titles" localSheetId="7">'Objekt (12)'!$20:$22</definedName>
    <definedName name="_xlnm.Print_Titles" localSheetId="8">'Objekt (13)'!$20:$22</definedName>
    <definedName name="_xlnm.Print_Titles" localSheetId="9">'Objekt (14)'!$20:$22</definedName>
    <definedName name="_xlnm.Print_Titles" localSheetId="10">'Objekt (15)'!$20:$22</definedName>
    <definedName name="_xlnm.Print_Titles" localSheetId="11">'Objekt (16)'!$20:$22</definedName>
    <definedName name="_xlnm.Print_Titles" localSheetId="12">'Objekt (17)'!$20:$22</definedName>
    <definedName name="_xlnm.Print_Titles" localSheetId="13">'Objekt (18)'!$20:$22</definedName>
    <definedName name="_xlnm.Print_Titles" localSheetId="14">'Objekt (19)'!$20:$22</definedName>
    <definedName name="_xlnm.Print_Titles" localSheetId="15">'Objekt (20)'!$20:$22</definedName>
    <definedName name="_xlnm.Print_Titles" localSheetId="16">'Objekt (21)'!$20:$22</definedName>
    <definedName name="_xlnm.Print_Titles" localSheetId="17">'Objekt (22)'!$20:$22</definedName>
    <definedName name="_xlnm.Print_Titles" localSheetId="18">'Objekt (23)'!$20:$22</definedName>
    <definedName name="_xlnm.Print_Titles" localSheetId="19">'Objekt (24)'!$20:$22</definedName>
    <definedName name="_xlnm.Print_Titles" localSheetId="20">'Objekt (25)'!$20:$22</definedName>
    <definedName name="Name_des_Bieters">Angebotsübersicht!$E$79</definedName>
    <definedName name="Netto">Angebotsübersicht!$G$40</definedName>
    <definedName name="RT_allgemein">Leistungswerte!$C$5</definedName>
    <definedName name="RT_Kita">Reinigungstage!$G$32</definedName>
    <definedName name="RT_offentl">Reinigungstage!$G$48</definedName>
    <definedName name="RT_Schule">Reinigungstage!$G$15</definedName>
    <definedName name="SVS_GLR">Leistungswerte!$A$6</definedName>
    <definedName name="SVS_GR">'SVS Grundreinigung'!$A$22</definedName>
    <definedName name="SVS_UR">'SVS Unterhaltsreinigung'!$A$22</definedName>
    <definedName name="Ust">Angebotsübersicht!$H$41</definedName>
    <definedName name="Z_1DB0E2B9_27D2_4161_A4FD_749C32A3828C_.wvu.PrintArea" localSheetId="3" hidden="1">'SVS Grundreinigung'!#REF!</definedName>
    <definedName name="Z_1DB0E2B9_27D2_4161_A4FD_749C32A3828C_.wvu.PrintArea" localSheetId="2" hidden="1">'SVS Unterhaltsreinigung'!#REF!</definedName>
    <definedName name="Z_83319449_2EBD_4227_B919_282E3817D190_.wvu.PrintArea" localSheetId="3" hidden="1">'SVS Grundreinigung'!#REF!</definedName>
    <definedName name="Z_83319449_2EBD_4227_B919_282E3817D190_.wvu.PrintArea" localSheetId="2" hidden="1">'SVS Unterhaltsreinigung'!#REF!</definedName>
  </definedNames>
  <calcPr calcId="191029"/>
  <customWorkbookViews>
    <customWorkbookView name="Datenzeilen" guid="{1DB0E2B9-27D2-4161-A4FD-749C32A3828C}" maximized="1" windowWidth="1276" windowHeight="861" tabRatio="852" activeSheetId="1"/>
    <customWorkbookView name="Datenzellen2" guid="{83319449-2EBD-4227-B919-282E3817D190}" maximized="1" windowWidth="1276" windowHeight="861" tabRatio="852" activeSheetId="1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0" i="134" l="1"/>
  <c r="G61" i="134" s="1"/>
  <c r="E57" i="134"/>
  <c r="G57" i="134" s="1"/>
  <c r="E56" i="134"/>
  <c r="C54" i="134"/>
  <c r="E53" i="134"/>
  <c r="G53" i="134" s="1"/>
  <c r="D53" i="134"/>
  <c r="E52" i="134"/>
  <c r="G52" i="134" s="1"/>
  <c r="D52" i="134"/>
  <c r="E51" i="134"/>
  <c r="D51" i="134"/>
  <c r="G50" i="134"/>
  <c r="E50" i="134"/>
  <c r="D50" i="134"/>
  <c r="E49" i="134"/>
  <c r="G49" i="134" s="1"/>
  <c r="D49" i="134"/>
  <c r="E48" i="134"/>
  <c r="G48" i="134" s="1"/>
  <c r="D48" i="134"/>
  <c r="E47" i="134"/>
  <c r="G47" i="134" s="1"/>
  <c r="D47" i="134"/>
  <c r="E46" i="134"/>
  <c r="D46" i="134"/>
  <c r="E45" i="134"/>
  <c r="G45" i="134" s="1"/>
  <c r="D45" i="134"/>
  <c r="E44" i="134"/>
  <c r="G44" i="134" s="1"/>
  <c r="D44" i="134"/>
  <c r="C42" i="134"/>
  <c r="E41" i="134"/>
  <c r="G41" i="134" s="1"/>
  <c r="D41" i="134"/>
  <c r="G40" i="134"/>
  <c r="E40" i="134"/>
  <c r="D40" i="134"/>
  <c r="E39" i="134"/>
  <c r="G39" i="134" s="1"/>
  <c r="D39" i="134"/>
  <c r="E38" i="134"/>
  <c r="D38" i="134"/>
  <c r="E37" i="134"/>
  <c r="G37" i="134" s="1"/>
  <c r="D37" i="134"/>
  <c r="E34" i="134"/>
  <c r="D34" i="134"/>
  <c r="E33" i="134"/>
  <c r="G33" i="134" s="1"/>
  <c r="D33" i="134"/>
  <c r="E28" i="134"/>
  <c r="D28" i="134"/>
  <c r="E27" i="134"/>
  <c r="G27" i="134" s="1"/>
  <c r="D27" i="134"/>
  <c r="E26" i="134"/>
  <c r="G26" i="134" s="1"/>
  <c r="D26" i="134"/>
  <c r="E25" i="134"/>
  <c r="G25" i="134" s="1"/>
  <c r="D25" i="134"/>
  <c r="G24" i="134"/>
  <c r="E24" i="134"/>
  <c r="D24" i="134"/>
  <c r="E22" i="134"/>
  <c r="C22" i="134"/>
  <c r="G21" i="134"/>
  <c r="D21" i="134"/>
  <c r="G20" i="134"/>
  <c r="D20" i="134"/>
  <c r="D19" i="134"/>
  <c r="D18" i="134"/>
  <c r="D17" i="134"/>
  <c r="D15" i="134"/>
  <c r="D13" i="134"/>
  <c r="H10" i="134"/>
  <c r="H16" i="134" s="1"/>
  <c r="F10" i="134"/>
  <c r="F15" i="134" s="1"/>
  <c r="C3" i="134"/>
  <c r="G60" i="133"/>
  <c r="G61" i="133" s="1"/>
  <c r="E57" i="133"/>
  <c r="G57" i="133" s="1"/>
  <c r="E56" i="133"/>
  <c r="C54" i="133"/>
  <c r="E53" i="133"/>
  <c r="G53" i="133" s="1"/>
  <c r="D53" i="133"/>
  <c r="E52" i="133"/>
  <c r="G52" i="133" s="1"/>
  <c r="D52" i="133"/>
  <c r="G51" i="133"/>
  <c r="E51" i="133"/>
  <c r="D51" i="133"/>
  <c r="E50" i="133"/>
  <c r="D50" i="133"/>
  <c r="E49" i="133"/>
  <c r="G49" i="133" s="1"/>
  <c r="D49" i="133"/>
  <c r="E48" i="133"/>
  <c r="D48" i="133"/>
  <c r="E47" i="133"/>
  <c r="G47" i="133" s="1"/>
  <c r="D47" i="133"/>
  <c r="G46" i="133"/>
  <c r="E46" i="133"/>
  <c r="D46" i="133"/>
  <c r="E45" i="133"/>
  <c r="G45" i="133" s="1"/>
  <c r="D45" i="133"/>
  <c r="E44" i="133"/>
  <c r="E54" i="133" s="1"/>
  <c r="D44" i="133"/>
  <c r="C42" i="133"/>
  <c r="E41" i="133"/>
  <c r="G41" i="133" s="1"/>
  <c r="D41" i="133"/>
  <c r="E40" i="133"/>
  <c r="G40" i="133" s="1"/>
  <c r="D40" i="133"/>
  <c r="G39" i="133"/>
  <c r="E39" i="133"/>
  <c r="D39" i="133"/>
  <c r="E38" i="133"/>
  <c r="D38" i="133"/>
  <c r="E37" i="133"/>
  <c r="E42" i="133" s="1"/>
  <c r="D37" i="133"/>
  <c r="E34" i="133"/>
  <c r="D34" i="133"/>
  <c r="E33" i="133"/>
  <c r="G33" i="133" s="1"/>
  <c r="D33" i="133"/>
  <c r="G28" i="133"/>
  <c r="E28" i="133"/>
  <c r="D28" i="133"/>
  <c r="E27" i="133"/>
  <c r="G27" i="133" s="1"/>
  <c r="D27" i="133"/>
  <c r="E26" i="133"/>
  <c r="G26" i="133" s="1"/>
  <c r="D26" i="133"/>
  <c r="G25" i="133"/>
  <c r="E25" i="133"/>
  <c r="D25" i="133"/>
  <c r="E24" i="133"/>
  <c r="D24" i="133"/>
  <c r="E22" i="133"/>
  <c r="C22" i="133"/>
  <c r="G21" i="133"/>
  <c r="D21" i="133"/>
  <c r="G20" i="133"/>
  <c r="G22" i="133" s="1"/>
  <c r="D20" i="133"/>
  <c r="D19" i="133"/>
  <c r="D18" i="133"/>
  <c r="D17" i="133"/>
  <c r="F15" i="133"/>
  <c r="D15" i="133"/>
  <c r="D13" i="133"/>
  <c r="H10" i="133"/>
  <c r="H19" i="133" s="1"/>
  <c r="F10" i="133"/>
  <c r="F46" i="133" s="1"/>
  <c r="C3" i="133"/>
  <c r="H26" i="134" l="1"/>
  <c r="H50" i="134"/>
  <c r="H47" i="134"/>
  <c r="D22" i="133"/>
  <c r="H20" i="133"/>
  <c r="F56" i="133"/>
  <c r="D54" i="133"/>
  <c r="H16" i="133"/>
  <c r="H33" i="133"/>
  <c r="H25" i="133"/>
  <c r="H47" i="133"/>
  <c r="H21" i="133"/>
  <c r="D42" i="133"/>
  <c r="F18" i="134"/>
  <c r="D22" i="134"/>
  <c r="H33" i="134"/>
  <c r="F13" i="134"/>
  <c r="H24" i="134"/>
  <c r="F40" i="134"/>
  <c r="F19" i="134"/>
  <c r="H27" i="134"/>
  <c r="H52" i="134"/>
  <c r="H20" i="134"/>
  <c r="F28" i="134"/>
  <c r="F21" i="134"/>
  <c r="H25" i="134"/>
  <c r="H14" i="133"/>
  <c r="F24" i="133"/>
  <c r="H27" i="133"/>
  <c r="F39" i="133"/>
  <c r="F51" i="133"/>
  <c r="F25" i="133"/>
  <c r="H28" i="133"/>
  <c r="F34" i="133"/>
  <c r="H39" i="133"/>
  <c r="F48" i="133"/>
  <c r="H51" i="133"/>
  <c r="H45" i="133"/>
  <c r="D29" i="133"/>
  <c r="C29" i="133" s="1"/>
  <c r="H40" i="133"/>
  <c r="H49" i="133"/>
  <c r="H52" i="133"/>
  <c r="F19" i="133"/>
  <c r="H26" i="133"/>
  <c r="F38" i="133"/>
  <c r="H41" i="133"/>
  <c r="H46" i="133"/>
  <c r="F50" i="133"/>
  <c r="H53" i="133"/>
  <c r="F44" i="134"/>
  <c r="H53" i="134"/>
  <c r="H14" i="134"/>
  <c r="H21" i="134"/>
  <c r="F38" i="134"/>
  <c r="H40" i="134"/>
  <c r="H48" i="134"/>
  <c r="F51" i="134"/>
  <c r="F56" i="134"/>
  <c r="H19" i="134"/>
  <c r="G38" i="134"/>
  <c r="H38" i="134" s="1"/>
  <c r="H45" i="134"/>
  <c r="G56" i="134"/>
  <c r="H56" i="134" s="1"/>
  <c r="G22" i="134"/>
  <c r="F34" i="134"/>
  <c r="H41" i="134"/>
  <c r="D54" i="134"/>
  <c r="H49" i="134"/>
  <c r="D29" i="134"/>
  <c r="C29" i="134" s="1"/>
  <c r="F47" i="134"/>
  <c r="F26" i="134"/>
  <c r="G34" i="134"/>
  <c r="H34" i="134" s="1"/>
  <c r="D42" i="134"/>
  <c r="E54" i="134"/>
  <c r="F52" i="134"/>
  <c r="F17" i="134"/>
  <c r="F24" i="134"/>
  <c r="H39" i="134"/>
  <c r="F50" i="134"/>
  <c r="G42" i="134"/>
  <c r="H37" i="134"/>
  <c r="E42" i="134"/>
  <c r="H44" i="134"/>
  <c r="F46" i="134"/>
  <c r="F49" i="134"/>
  <c r="F41" i="133"/>
  <c r="F45" i="133"/>
  <c r="G48" i="133"/>
  <c r="H48" i="133" s="1"/>
  <c r="F53" i="133"/>
  <c r="F25" i="134"/>
  <c r="G28" i="134"/>
  <c r="H28" i="134" s="1"/>
  <c r="F39" i="134"/>
  <c r="G46" i="134"/>
  <c r="H46" i="134" s="1"/>
  <c r="F17" i="133"/>
  <c r="G24" i="133"/>
  <c r="H24" i="133" s="1"/>
  <c r="G34" i="133"/>
  <c r="H34" i="133" s="1"/>
  <c r="G38" i="133"/>
  <c r="H38" i="133" s="1"/>
  <c r="F47" i="133"/>
  <c r="G50" i="133"/>
  <c r="H50" i="133" s="1"/>
  <c r="G56" i="133"/>
  <c r="H56" i="133" s="1"/>
  <c r="F48" i="134"/>
  <c r="G51" i="134"/>
  <c r="H51" i="134" s="1"/>
  <c r="F33" i="134"/>
  <c r="F27" i="134"/>
  <c r="F41" i="134"/>
  <c r="F45" i="134"/>
  <c r="F53" i="134"/>
  <c r="F37" i="134"/>
  <c r="F27" i="133"/>
  <c r="F20" i="133"/>
  <c r="F26" i="133"/>
  <c r="F40" i="133"/>
  <c r="F44" i="133"/>
  <c r="F52" i="133"/>
  <c r="F13" i="133"/>
  <c r="F18" i="133"/>
  <c r="F33" i="133"/>
  <c r="F37" i="133"/>
  <c r="G44" i="133"/>
  <c r="F49" i="133"/>
  <c r="F20" i="134"/>
  <c r="F21" i="133"/>
  <c r="F28" i="133"/>
  <c r="G37" i="133"/>
  <c r="H22" i="133" l="1"/>
  <c r="F22" i="133"/>
  <c r="H29" i="133"/>
  <c r="G29" i="133" s="1"/>
  <c r="F29" i="133"/>
  <c r="E29" i="133" s="1"/>
  <c r="D30" i="134"/>
  <c r="F54" i="134"/>
  <c r="H42" i="134"/>
  <c r="F22" i="134"/>
  <c r="D30" i="133"/>
  <c r="H22" i="134"/>
  <c r="H29" i="134"/>
  <c r="G29" i="134" s="1"/>
  <c r="F54" i="133"/>
  <c r="H54" i="134"/>
  <c r="F29" i="134"/>
  <c r="E29" i="134" s="1"/>
  <c r="H44" i="133"/>
  <c r="H54" i="133" s="1"/>
  <c r="G54" i="133"/>
  <c r="G42" i="133"/>
  <c r="H37" i="133"/>
  <c r="H42" i="133" s="1"/>
  <c r="H30" i="133"/>
  <c r="F42" i="133"/>
  <c r="G54" i="134"/>
  <c r="F42" i="134"/>
  <c r="F30" i="133" l="1"/>
  <c r="E30" i="133" s="1"/>
  <c r="F30" i="134"/>
  <c r="H30" i="134"/>
  <c r="F31" i="133"/>
  <c r="E31" i="133" s="1"/>
  <c r="E35" i="133" s="1"/>
  <c r="F31" i="134"/>
  <c r="F35" i="134" s="1"/>
  <c r="F55" i="134" s="1"/>
  <c r="E30" i="134"/>
  <c r="H31" i="134"/>
  <c r="G30" i="134"/>
  <c r="D31" i="134"/>
  <c r="C30" i="134"/>
  <c r="H31" i="133"/>
  <c r="G31" i="133" s="1"/>
  <c r="G35" i="133" s="1"/>
  <c r="G30" i="133"/>
  <c r="C30" i="133"/>
  <c r="D31" i="133"/>
  <c r="H35" i="133" l="1"/>
  <c r="H55" i="133" s="1"/>
  <c r="F35" i="133"/>
  <c r="F55" i="133" s="1"/>
  <c r="C31" i="134"/>
  <c r="C35" i="134" s="1"/>
  <c r="D35" i="134"/>
  <c r="E31" i="134"/>
  <c r="E35" i="134" s="1"/>
  <c r="G31" i="134"/>
  <c r="G35" i="134" s="1"/>
  <c r="H35" i="134"/>
  <c r="H55" i="134" s="1"/>
  <c r="C31" i="133"/>
  <c r="C35" i="133" s="1"/>
  <c r="D35" i="133"/>
  <c r="G55" i="133"/>
  <c r="H57" i="133"/>
  <c r="H58" i="133" s="1"/>
  <c r="E55" i="133"/>
  <c r="F57" i="133"/>
  <c r="F58" i="133" s="1"/>
  <c r="E55" i="134"/>
  <c r="F57" i="134"/>
  <c r="F58" i="134" s="1"/>
  <c r="D56" i="134" l="1"/>
  <c r="D55" i="134"/>
  <c r="G55" i="134"/>
  <c r="H57" i="134"/>
  <c r="H58" i="134" s="1"/>
  <c r="D56" i="133"/>
  <c r="D55" i="133"/>
  <c r="F59" i="134"/>
  <c r="E58" i="134"/>
  <c r="E59" i="134"/>
  <c r="F60" i="134"/>
  <c r="G58" i="133"/>
  <c r="H60" i="133"/>
  <c r="H59" i="133"/>
  <c r="G59" i="133"/>
  <c r="E58" i="133"/>
  <c r="E59" i="133"/>
  <c r="F60" i="133"/>
  <c r="F59" i="133"/>
  <c r="H59" i="134" l="1"/>
  <c r="G59" i="134"/>
  <c r="G58" i="134"/>
  <c r="H60" i="134"/>
  <c r="D57" i="134"/>
  <c r="D58" i="134" s="1"/>
  <c r="C55" i="134"/>
  <c r="D57" i="133"/>
  <c r="D58" i="133" s="1"/>
  <c r="C55" i="133"/>
  <c r="C58" i="134" l="1"/>
  <c r="D59" i="134"/>
  <c r="C59" i="134"/>
  <c r="D60" i="134"/>
  <c r="D62" i="134" s="1"/>
  <c r="A22" i="134" s="1"/>
  <c r="D60" i="133"/>
  <c r="D62" i="133" s="1"/>
  <c r="A22" i="133" s="1"/>
  <c r="D59" i="133"/>
  <c r="C58" i="133"/>
  <c r="C59" i="133"/>
  <c r="M26" i="132"/>
  <c r="M27" i="132"/>
  <c r="M28" i="132"/>
  <c r="M29" i="132"/>
  <c r="M30" i="132"/>
  <c r="M31" i="132"/>
  <c r="M32" i="132"/>
  <c r="G100" i="119"/>
  <c r="I57" i="118"/>
  <c r="J57" i="118"/>
  <c r="K57" i="118"/>
  <c r="I58" i="118"/>
  <c r="J58" i="118"/>
  <c r="K58" i="118"/>
  <c r="I59" i="118"/>
  <c r="J59" i="118"/>
  <c r="K59" i="118"/>
  <c r="I60" i="118"/>
  <c r="J60" i="118"/>
  <c r="K60" i="118"/>
  <c r="I61" i="118"/>
  <c r="J61" i="118"/>
  <c r="K61" i="118"/>
  <c r="I62" i="118"/>
  <c r="J62" i="118"/>
  <c r="K62" i="118"/>
  <c r="E32" i="117"/>
  <c r="D32" i="117"/>
  <c r="C32" i="117"/>
  <c r="G31" i="117"/>
  <c r="G30" i="117"/>
  <c r="G29" i="117"/>
  <c r="G28" i="117"/>
  <c r="G27" i="117"/>
  <c r="G26" i="117"/>
  <c r="G25" i="117"/>
  <c r="G24" i="117"/>
  <c r="G23" i="117"/>
  <c r="G32" i="117" s="1"/>
  <c r="G22" i="117"/>
  <c r="G21" i="117"/>
  <c r="G20" i="117"/>
  <c r="E15" i="117"/>
  <c r="D15" i="117"/>
  <c r="C15" i="117"/>
  <c r="G14" i="117"/>
  <c r="G13" i="117"/>
  <c r="G12" i="117"/>
  <c r="G11" i="117"/>
  <c r="F10" i="117"/>
  <c r="F15" i="117" s="1"/>
  <c r="G9" i="117"/>
  <c r="G8" i="117"/>
  <c r="G7" i="117"/>
  <c r="G6" i="117"/>
  <c r="G5" i="117"/>
  <c r="G4" i="117"/>
  <c r="G3" i="117"/>
  <c r="G10" i="117" l="1"/>
  <c r="G15" i="117" s="1"/>
  <c r="M27" i="122" l="1"/>
  <c r="M28" i="122"/>
  <c r="M29" i="122"/>
  <c r="M30" i="122"/>
  <c r="M31" i="122"/>
  <c r="M32" i="122"/>
  <c r="M33" i="122"/>
  <c r="M34" i="122"/>
  <c r="M35" i="122"/>
  <c r="M36" i="122"/>
  <c r="D24" i="115"/>
  <c r="B24" i="115"/>
  <c r="D10" i="115" l="1"/>
  <c r="D14" i="115"/>
  <c r="D18" i="115"/>
  <c r="D74" i="46"/>
  <c r="B74" i="46"/>
  <c r="B38" i="46"/>
  <c r="I72" i="46"/>
  <c r="D72" i="46"/>
  <c r="C72" i="46"/>
  <c r="B72" i="46"/>
  <c r="B73" i="46" s="1"/>
  <c r="B36" i="46"/>
  <c r="B37" i="46" s="1"/>
  <c r="M33" i="132"/>
  <c r="G46" i="132" l="1"/>
  <c r="G48" i="132" s="1"/>
  <c r="O7" i="132" s="1"/>
  <c r="I46" i="132"/>
  <c r="J46" i="132"/>
  <c r="K46" i="132"/>
  <c r="M46" i="132"/>
  <c r="E48" i="117"/>
  <c r="D48" i="117"/>
  <c r="C48" i="117"/>
  <c r="G47" i="117"/>
  <c r="G46" i="117"/>
  <c r="G45" i="117"/>
  <c r="G44" i="117"/>
  <c r="F48" i="117"/>
  <c r="G42" i="117"/>
  <c r="G41" i="117"/>
  <c r="G40" i="117"/>
  <c r="G39" i="117"/>
  <c r="G38" i="117"/>
  <c r="G37" i="117"/>
  <c r="G36" i="117"/>
  <c r="G40" i="132"/>
  <c r="M38" i="132"/>
  <c r="O38" i="132" s="1"/>
  <c r="K38" i="132"/>
  <c r="J38" i="132"/>
  <c r="I38" i="132"/>
  <c r="M37" i="132"/>
  <c r="N37" i="132" s="1"/>
  <c r="K37" i="132"/>
  <c r="J37" i="132"/>
  <c r="I37" i="132"/>
  <c r="M36" i="132"/>
  <c r="N36" i="132" s="1"/>
  <c r="K36" i="132"/>
  <c r="J36" i="132"/>
  <c r="I36" i="132"/>
  <c r="M35" i="132"/>
  <c r="N35" i="132" s="1"/>
  <c r="K35" i="132"/>
  <c r="J35" i="132"/>
  <c r="I35" i="132"/>
  <c r="M34" i="132"/>
  <c r="N34" i="132" s="1"/>
  <c r="K34" i="132"/>
  <c r="J34" i="132"/>
  <c r="I34" i="132"/>
  <c r="N33" i="132"/>
  <c r="K33" i="132"/>
  <c r="J33" i="132"/>
  <c r="I33" i="132"/>
  <c r="N32" i="132"/>
  <c r="K32" i="132"/>
  <c r="J32" i="132"/>
  <c r="I32" i="132"/>
  <c r="N31" i="132"/>
  <c r="K31" i="132"/>
  <c r="J31" i="132"/>
  <c r="I31" i="132"/>
  <c r="N30" i="132"/>
  <c r="K30" i="132"/>
  <c r="J30" i="132"/>
  <c r="I30" i="132"/>
  <c r="N29" i="132"/>
  <c r="K29" i="132"/>
  <c r="J29" i="132"/>
  <c r="I29" i="132"/>
  <c r="N28" i="132"/>
  <c r="K28" i="132"/>
  <c r="J28" i="132"/>
  <c r="I28" i="132"/>
  <c r="K27" i="132"/>
  <c r="J27" i="132"/>
  <c r="I27" i="132"/>
  <c r="N26" i="132"/>
  <c r="K26" i="132"/>
  <c r="J26" i="132"/>
  <c r="I26" i="132"/>
  <c r="M25" i="132"/>
  <c r="N25" i="132" s="1"/>
  <c r="K25" i="132"/>
  <c r="J25" i="132"/>
  <c r="I25" i="132"/>
  <c r="M24" i="132"/>
  <c r="N24" i="132" s="1"/>
  <c r="K24" i="132"/>
  <c r="J24" i="132"/>
  <c r="I24" i="132"/>
  <c r="A24" i="132"/>
  <c r="A25" i="132" s="1"/>
  <c r="A26" i="132" s="1"/>
  <c r="A27" i="132" s="1"/>
  <c r="A28" i="132" s="1"/>
  <c r="A29" i="132" s="1"/>
  <c r="A30" i="132" s="1"/>
  <c r="A31" i="132" s="1"/>
  <c r="A32" i="132" s="1"/>
  <c r="A33" i="132" s="1"/>
  <c r="A34" i="132" s="1"/>
  <c r="A35" i="132" s="1"/>
  <c r="A36" i="132" s="1"/>
  <c r="A37" i="132" s="1"/>
  <c r="A38" i="132" s="1"/>
  <c r="A46" i="132" s="1"/>
  <c r="M23" i="132"/>
  <c r="N23" i="132" s="1"/>
  <c r="K23" i="132"/>
  <c r="J23" i="132"/>
  <c r="I23" i="132"/>
  <c r="G7" i="132"/>
  <c r="E74" i="46" s="1"/>
  <c r="G2" i="132"/>
  <c r="N46" i="132" l="1"/>
  <c r="N38" i="132"/>
  <c r="O33" i="132"/>
  <c r="O35" i="132"/>
  <c r="G43" i="117"/>
  <c r="G48" i="117" s="1"/>
  <c r="G5" i="132" s="1"/>
  <c r="C74" i="46" s="1"/>
  <c r="N27" i="132"/>
  <c r="L34" i="132" l="1"/>
  <c r="O34" i="132" s="1"/>
  <c r="L30" i="132"/>
  <c r="O30" i="132" s="1"/>
  <c r="L36" i="132"/>
  <c r="O36" i="132" s="1"/>
  <c r="L29" i="132"/>
  <c r="O29" i="132" s="1"/>
  <c r="L26" i="132"/>
  <c r="O26" i="132" s="1"/>
  <c r="L24" i="132"/>
  <c r="O24" i="132" s="1"/>
  <c r="L31" i="132"/>
  <c r="O31" i="132" s="1"/>
  <c r="L35" i="132"/>
  <c r="L25" i="132"/>
  <c r="O25" i="132" s="1"/>
  <c r="L28" i="132"/>
  <c r="O28" i="132" s="1"/>
  <c r="L38" i="132"/>
  <c r="L32" i="132"/>
  <c r="O32" i="132" s="1"/>
  <c r="L37" i="132"/>
  <c r="O37" i="132" s="1"/>
  <c r="L27" i="132"/>
  <c r="O27" i="132" s="1"/>
  <c r="L46" i="132"/>
  <c r="L48" i="132" s="1"/>
  <c r="O8" i="132" s="1"/>
  <c r="H75" i="46" s="1"/>
  <c r="L33" i="132"/>
  <c r="L23" i="132"/>
  <c r="O23" i="132" s="1"/>
  <c r="L40" i="132" l="1"/>
  <c r="G8" i="132"/>
  <c r="H74" i="46" s="1"/>
  <c r="G9" i="132"/>
  <c r="G74" i="46" s="1"/>
  <c r="O40" i="132"/>
  <c r="O46" i="132"/>
  <c r="O48" i="132" s="1"/>
  <c r="M48" i="132" s="1"/>
  <c r="N35" i="131"/>
  <c r="N40" i="130"/>
  <c r="N36" i="129"/>
  <c r="N34" i="128"/>
  <c r="N40" i="127"/>
  <c r="N35" i="126"/>
  <c r="N41" i="125"/>
  <c r="N55" i="124"/>
  <c r="G10" i="132" l="1"/>
  <c r="F74" i="46" s="1"/>
  <c r="G11" i="132"/>
  <c r="I74" i="46" s="1"/>
  <c r="M40" i="132"/>
  <c r="O9" i="132"/>
  <c r="A26" i="128"/>
  <c r="I42" i="123"/>
  <c r="J42" i="123"/>
  <c r="O11" i="132" l="1"/>
  <c r="I75" i="46" s="1"/>
  <c r="G75" i="46"/>
  <c r="O92" i="119"/>
  <c r="B75" i="46" l="1"/>
  <c r="B70" i="46"/>
  <c r="B71" i="46" s="1"/>
  <c r="B68" i="46"/>
  <c r="B69" i="46" s="1"/>
  <c r="B66" i="46"/>
  <c r="B67" i="46" s="1"/>
  <c r="B64" i="46"/>
  <c r="B65" i="46" s="1"/>
  <c r="B62" i="46"/>
  <c r="B63" i="46" s="1"/>
  <c r="B60" i="46"/>
  <c r="B61" i="46" s="1"/>
  <c r="B58" i="46"/>
  <c r="B59" i="46" s="1"/>
  <c r="B56" i="46"/>
  <c r="B57" i="46" s="1"/>
  <c r="B54" i="46"/>
  <c r="B55" i="46" s="1"/>
  <c r="B52" i="46"/>
  <c r="B53" i="46" s="1"/>
  <c r="B50" i="46"/>
  <c r="B51" i="46" s="1"/>
  <c r="B48" i="46"/>
  <c r="B49" i="46" s="1"/>
  <c r="B46" i="46"/>
  <c r="B47" i="46" s="1"/>
  <c r="K35" i="131"/>
  <c r="J35" i="131"/>
  <c r="I35" i="131"/>
  <c r="K40" i="130"/>
  <c r="J40" i="130"/>
  <c r="I40" i="130"/>
  <c r="K36" i="129"/>
  <c r="J36" i="129"/>
  <c r="I36" i="129"/>
  <c r="K34" i="128"/>
  <c r="J34" i="128"/>
  <c r="I34" i="128"/>
  <c r="K40" i="127"/>
  <c r="J40" i="127"/>
  <c r="I40" i="127"/>
  <c r="K35" i="126"/>
  <c r="J35" i="126"/>
  <c r="I35" i="126"/>
  <c r="K41" i="125"/>
  <c r="J41" i="125"/>
  <c r="I41" i="125"/>
  <c r="K55" i="124"/>
  <c r="J55" i="124"/>
  <c r="I55" i="124"/>
  <c r="M51" i="123"/>
  <c r="K51" i="123"/>
  <c r="J51" i="123"/>
  <c r="I51" i="123"/>
  <c r="M43" i="123"/>
  <c r="K43" i="123"/>
  <c r="J43" i="123"/>
  <c r="I43" i="123"/>
  <c r="M42" i="123"/>
  <c r="K42" i="123"/>
  <c r="M41" i="123"/>
  <c r="K41" i="123"/>
  <c r="J41" i="123"/>
  <c r="I41" i="123"/>
  <c r="M40" i="123"/>
  <c r="K40" i="123"/>
  <c r="J40" i="123"/>
  <c r="I40" i="123"/>
  <c r="M39" i="123"/>
  <c r="K39" i="123"/>
  <c r="J39" i="123"/>
  <c r="I39" i="123"/>
  <c r="M38" i="123"/>
  <c r="K38" i="123"/>
  <c r="J38" i="123"/>
  <c r="I38" i="123"/>
  <c r="M37" i="123"/>
  <c r="K37" i="123"/>
  <c r="J37" i="123"/>
  <c r="I37" i="123"/>
  <c r="M36" i="123"/>
  <c r="K36" i="123"/>
  <c r="J36" i="123"/>
  <c r="I36" i="123"/>
  <c r="M35" i="123"/>
  <c r="K35" i="123"/>
  <c r="J35" i="123"/>
  <c r="I35" i="123"/>
  <c r="M34" i="123"/>
  <c r="K34" i="123"/>
  <c r="J34" i="123"/>
  <c r="I34" i="123"/>
  <c r="M33" i="123"/>
  <c r="K33" i="123"/>
  <c r="J33" i="123"/>
  <c r="I33" i="123"/>
  <c r="M32" i="123"/>
  <c r="K32" i="123"/>
  <c r="J32" i="123"/>
  <c r="I32" i="123"/>
  <c r="M31" i="123"/>
  <c r="K31" i="123"/>
  <c r="J31" i="123"/>
  <c r="I31" i="123"/>
  <c r="M30" i="123"/>
  <c r="K30" i="123"/>
  <c r="J30" i="123"/>
  <c r="I30" i="123"/>
  <c r="M29" i="123"/>
  <c r="K29" i="123"/>
  <c r="J29" i="123"/>
  <c r="I29" i="123"/>
  <c r="M28" i="123"/>
  <c r="K28" i="123"/>
  <c r="J28" i="123"/>
  <c r="I28" i="123"/>
  <c r="M27" i="123"/>
  <c r="K27" i="123"/>
  <c r="J27" i="123"/>
  <c r="I27" i="123"/>
  <c r="M26" i="123"/>
  <c r="K26" i="123"/>
  <c r="J26" i="123"/>
  <c r="I26" i="123"/>
  <c r="M25" i="123"/>
  <c r="K25" i="123"/>
  <c r="J25" i="123"/>
  <c r="I25" i="123"/>
  <c r="M24" i="123"/>
  <c r="K24" i="123"/>
  <c r="J24" i="123"/>
  <c r="I24" i="123"/>
  <c r="M23" i="123"/>
  <c r="K23" i="123"/>
  <c r="J23" i="123"/>
  <c r="I23" i="123"/>
  <c r="M45" i="122"/>
  <c r="K45" i="122"/>
  <c r="J45" i="122"/>
  <c r="I45" i="122"/>
  <c r="M37" i="122"/>
  <c r="K37" i="122"/>
  <c r="J37" i="122"/>
  <c r="I37" i="122"/>
  <c r="K36" i="122"/>
  <c r="J36" i="122"/>
  <c r="I36" i="122"/>
  <c r="K35" i="122"/>
  <c r="J35" i="122"/>
  <c r="I35" i="122"/>
  <c r="K34" i="122"/>
  <c r="J34" i="122"/>
  <c r="I34" i="122"/>
  <c r="K33" i="122"/>
  <c r="J33" i="122"/>
  <c r="I33" i="122"/>
  <c r="K32" i="122"/>
  <c r="J32" i="122"/>
  <c r="I32" i="122"/>
  <c r="K31" i="122"/>
  <c r="J31" i="122"/>
  <c r="I31" i="122"/>
  <c r="K30" i="122"/>
  <c r="J30" i="122"/>
  <c r="I30" i="122"/>
  <c r="K29" i="122"/>
  <c r="J29" i="122"/>
  <c r="I29" i="122"/>
  <c r="K28" i="122"/>
  <c r="J28" i="122"/>
  <c r="I28" i="122"/>
  <c r="K27" i="122"/>
  <c r="J27" i="122"/>
  <c r="I27" i="122"/>
  <c r="M26" i="122"/>
  <c r="K26" i="122"/>
  <c r="J26" i="122"/>
  <c r="I26" i="122"/>
  <c r="M25" i="122"/>
  <c r="K25" i="122"/>
  <c r="J25" i="122"/>
  <c r="I25" i="122"/>
  <c r="M24" i="122"/>
  <c r="K24" i="122"/>
  <c r="J24" i="122"/>
  <c r="I24" i="122"/>
  <c r="M23" i="122"/>
  <c r="K23" i="122"/>
  <c r="J23" i="122"/>
  <c r="I23" i="122"/>
  <c r="M52" i="121"/>
  <c r="K52" i="121"/>
  <c r="J52" i="121"/>
  <c r="I52" i="121"/>
  <c r="M44" i="121"/>
  <c r="K44" i="121"/>
  <c r="J44" i="121"/>
  <c r="I44" i="121"/>
  <c r="M43" i="121"/>
  <c r="K43" i="121"/>
  <c r="J43" i="121"/>
  <c r="I43" i="121"/>
  <c r="M42" i="121"/>
  <c r="K42" i="121"/>
  <c r="J42" i="121"/>
  <c r="I42" i="121"/>
  <c r="M41" i="121"/>
  <c r="K41" i="121"/>
  <c r="J41" i="121"/>
  <c r="I41" i="121"/>
  <c r="M40" i="121"/>
  <c r="K40" i="121"/>
  <c r="J40" i="121"/>
  <c r="I40" i="121"/>
  <c r="M39" i="121"/>
  <c r="K39" i="121"/>
  <c r="J39" i="121"/>
  <c r="I39" i="121"/>
  <c r="M38" i="121"/>
  <c r="K38" i="121"/>
  <c r="J38" i="121"/>
  <c r="I38" i="121"/>
  <c r="M37" i="121"/>
  <c r="K37" i="121"/>
  <c r="J37" i="121"/>
  <c r="I37" i="121"/>
  <c r="M36" i="121"/>
  <c r="K36" i="121"/>
  <c r="J36" i="121"/>
  <c r="I36" i="121"/>
  <c r="M35" i="121"/>
  <c r="K35" i="121"/>
  <c r="J35" i="121"/>
  <c r="I35" i="121"/>
  <c r="M34" i="121"/>
  <c r="K34" i="121"/>
  <c r="J34" i="121"/>
  <c r="I34" i="121"/>
  <c r="M33" i="121"/>
  <c r="K33" i="121"/>
  <c r="J33" i="121"/>
  <c r="I33" i="121"/>
  <c r="M32" i="121"/>
  <c r="K32" i="121"/>
  <c r="J32" i="121"/>
  <c r="I32" i="121"/>
  <c r="M31" i="121"/>
  <c r="K31" i="121"/>
  <c r="J31" i="121"/>
  <c r="I31" i="121"/>
  <c r="M30" i="121"/>
  <c r="K30" i="121"/>
  <c r="J30" i="121"/>
  <c r="I30" i="121"/>
  <c r="M29" i="121"/>
  <c r="K29" i="121"/>
  <c r="J29" i="121"/>
  <c r="I29" i="121"/>
  <c r="M28" i="121"/>
  <c r="K28" i="121"/>
  <c r="J28" i="121"/>
  <c r="I28" i="121"/>
  <c r="M27" i="121"/>
  <c r="K27" i="121"/>
  <c r="J27" i="121"/>
  <c r="I27" i="121"/>
  <c r="M26" i="121"/>
  <c r="K26" i="121"/>
  <c r="J26" i="121"/>
  <c r="I26" i="121"/>
  <c r="M25" i="121"/>
  <c r="K25" i="121"/>
  <c r="J25" i="121"/>
  <c r="I25" i="121"/>
  <c r="M24" i="121"/>
  <c r="K24" i="121"/>
  <c r="J24" i="121"/>
  <c r="I24" i="121"/>
  <c r="M23" i="121"/>
  <c r="K23" i="121"/>
  <c r="J23" i="121"/>
  <c r="I23" i="121"/>
  <c r="M100" i="120"/>
  <c r="K100" i="120"/>
  <c r="J100" i="120"/>
  <c r="I100" i="120"/>
  <c r="M92" i="120"/>
  <c r="K92" i="120"/>
  <c r="J92" i="120"/>
  <c r="I92" i="120"/>
  <c r="M91" i="120"/>
  <c r="K91" i="120"/>
  <c r="J91" i="120"/>
  <c r="I91" i="120"/>
  <c r="M90" i="120"/>
  <c r="K90" i="120"/>
  <c r="J90" i="120"/>
  <c r="I90" i="120"/>
  <c r="M89" i="120"/>
  <c r="K89" i="120"/>
  <c r="J89" i="120"/>
  <c r="I89" i="120"/>
  <c r="M88" i="120"/>
  <c r="K88" i="120"/>
  <c r="J88" i="120"/>
  <c r="I88" i="120"/>
  <c r="M87" i="120"/>
  <c r="K87" i="120"/>
  <c r="J87" i="120"/>
  <c r="I87" i="120"/>
  <c r="M86" i="120"/>
  <c r="K86" i="120"/>
  <c r="J86" i="120"/>
  <c r="I86" i="120"/>
  <c r="M85" i="120"/>
  <c r="K85" i="120"/>
  <c r="J85" i="120"/>
  <c r="I85" i="120"/>
  <c r="M84" i="120"/>
  <c r="K84" i="120"/>
  <c r="J84" i="120"/>
  <c r="I84" i="120"/>
  <c r="M83" i="120"/>
  <c r="K83" i="120"/>
  <c r="J83" i="120"/>
  <c r="I83" i="120"/>
  <c r="M82" i="120"/>
  <c r="K82" i="120"/>
  <c r="J82" i="120"/>
  <c r="I82" i="120"/>
  <c r="M80" i="120"/>
  <c r="K80" i="120"/>
  <c r="J80" i="120"/>
  <c r="I80" i="120"/>
  <c r="M79" i="120"/>
  <c r="K79" i="120"/>
  <c r="J79" i="120"/>
  <c r="I79" i="120"/>
  <c r="M78" i="120"/>
  <c r="K78" i="120"/>
  <c r="J78" i="120"/>
  <c r="I78" i="120"/>
  <c r="M77" i="120"/>
  <c r="K77" i="120"/>
  <c r="J77" i="120"/>
  <c r="I77" i="120"/>
  <c r="M76" i="120"/>
  <c r="K76" i="120"/>
  <c r="J76" i="120"/>
  <c r="I76" i="120"/>
  <c r="M75" i="120"/>
  <c r="K75" i="120"/>
  <c r="J75" i="120"/>
  <c r="I75" i="120"/>
  <c r="M74" i="120"/>
  <c r="K74" i="120"/>
  <c r="J74" i="120"/>
  <c r="I74" i="120"/>
  <c r="M73" i="120"/>
  <c r="K73" i="120"/>
  <c r="J73" i="120"/>
  <c r="I73" i="120"/>
  <c r="M72" i="120"/>
  <c r="K72" i="120"/>
  <c r="J72" i="120"/>
  <c r="I72" i="120"/>
  <c r="M71" i="120"/>
  <c r="K71" i="120"/>
  <c r="J71" i="120"/>
  <c r="I71" i="120"/>
  <c r="M70" i="120"/>
  <c r="K70" i="120"/>
  <c r="J70" i="120"/>
  <c r="I70" i="120"/>
  <c r="M69" i="120"/>
  <c r="K69" i="120"/>
  <c r="J69" i="120"/>
  <c r="I69" i="120"/>
  <c r="M68" i="120"/>
  <c r="K68" i="120"/>
  <c r="J68" i="120"/>
  <c r="I68" i="120"/>
  <c r="M67" i="120"/>
  <c r="K67" i="120"/>
  <c r="J67" i="120"/>
  <c r="I67" i="120"/>
  <c r="M66" i="120"/>
  <c r="K66" i="120"/>
  <c r="J66" i="120"/>
  <c r="I66" i="120"/>
  <c r="M65" i="120"/>
  <c r="K65" i="120"/>
  <c r="J65" i="120"/>
  <c r="I65" i="120"/>
  <c r="M64" i="120"/>
  <c r="K64" i="120"/>
  <c r="J64" i="120"/>
  <c r="I64" i="120"/>
  <c r="M62" i="120"/>
  <c r="K62" i="120"/>
  <c r="J62" i="120"/>
  <c r="I62" i="120"/>
  <c r="M61" i="120"/>
  <c r="K61" i="120"/>
  <c r="J61" i="120"/>
  <c r="I61" i="120"/>
  <c r="M60" i="120"/>
  <c r="K60" i="120"/>
  <c r="J60" i="120"/>
  <c r="I60" i="120"/>
  <c r="M59" i="120"/>
  <c r="K59" i="120"/>
  <c r="J59" i="120"/>
  <c r="I59" i="120"/>
  <c r="M58" i="120"/>
  <c r="J58" i="120"/>
  <c r="M57" i="120"/>
  <c r="K57" i="120"/>
  <c r="J57" i="120"/>
  <c r="I57" i="120"/>
  <c r="M56" i="120"/>
  <c r="K56" i="120"/>
  <c r="J56" i="120"/>
  <c r="I56" i="120"/>
  <c r="M55" i="120"/>
  <c r="K55" i="120"/>
  <c r="J55" i="120"/>
  <c r="I55" i="120"/>
  <c r="M54" i="120"/>
  <c r="K54" i="120"/>
  <c r="J54" i="120"/>
  <c r="I54" i="120"/>
  <c r="M53" i="120"/>
  <c r="K53" i="120"/>
  <c r="J53" i="120"/>
  <c r="I53" i="120"/>
  <c r="M52" i="120"/>
  <c r="K52" i="120"/>
  <c r="J52" i="120"/>
  <c r="I52" i="120"/>
  <c r="M51" i="120"/>
  <c r="K51" i="120"/>
  <c r="J51" i="120"/>
  <c r="I51" i="120"/>
  <c r="M50" i="120"/>
  <c r="K50" i="120"/>
  <c r="J50" i="120"/>
  <c r="I50" i="120"/>
  <c r="M49" i="120"/>
  <c r="K49" i="120"/>
  <c r="J49" i="120"/>
  <c r="I49" i="120"/>
  <c r="M48" i="120"/>
  <c r="K48" i="120"/>
  <c r="J48" i="120"/>
  <c r="I48" i="120"/>
  <c r="M47" i="120"/>
  <c r="K47" i="120"/>
  <c r="J47" i="120"/>
  <c r="I47" i="120"/>
  <c r="M46" i="120"/>
  <c r="K46" i="120"/>
  <c r="J46" i="120"/>
  <c r="I46" i="120"/>
  <c r="M45" i="120"/>
  <c r="K45" i="120"/>
  <c r="J45" i="120"/>
  <c r="I45" i="120"/>
  <c r="M44" i="120"/>
  <c r="K44" i="120"/>
  <c r="J44" i="120"/>
  <c r="I44" i="120"/>
  <c r="M43" i="120"/>
  <c r="K43" i="120"/>
  <c r="J43" i="120"/>
  <c r="I43" i="120"/>
  <c r="M42" i="120"/>
  <c r="K42" i="120"/>
  <c r="J42" i="120"/>
  <c r="I42" i="120"/>
  <c r="M41" i="120"/>
  <c r="K41" i="120"/>
  <c r="J41" i="120"/>
  <c r="I41" i="120"/>
  <c r="M40" i="120"/>
  <c r="K40" i="120"/>
  <c r="J40" i="120"/>
  <c r="I40" i="120"/>
  <c r="M39" i="120"/>
  <c r="K39" i="120"/>
  <c r="J39" i="120"/>
  <c r="I39" i="120"/>
  <c r="M38" i="120"/>
  <c r="K38" i="120"/>
  <c r="J38" i="120"/>
  <c r="I38" i="120"/>
  <c r="M37" i="120"/>
  <c r="K37" i="120"/>
  <c r="J37" i="120"/>
  <c r="I37" i="120"/>
  <c r="M35" i="120"/>
  <c r="K35" i="120"/>
  <c r="J35" i="120"/>
  <c r="I35" i="120"/>
  <c r="M34" i="120"/>
  <c r="K34" i="120"/>
  <c r="J34" i="120"/>
  <c r="I34" i="120"/>
  <c r="M33" i="120"/>
  <c r="K33" i="120"/>
  <c r="J33" i="120"/>
  <c r="I33" i="120"/>
  <c r="M32" i="120"/>
  <c r="K32" i="120"/>
  <c r="J32" i="120"/>
  <c r="I32" i="120"/>
  <c r="M31" i="120"/>
  <c r="K31" i="120"/>
  <c r="J31" i="120"/>
  <c r="I31" i="120"/>
  <c r="M30" i="120"/>
  <c r="K30" i="120"/>
  <c r="J30" i="120"/>
  <c r="I30" i="120"/>
  <c r="M29" i="120"/>
  <c r="K29" i="120"/>
  <c r="J29" i="120"/>
  <c r="I29" i="120"/>
  <c r="M28" i="120"/>
  <c r="K28" i="120"/>
  <c r="J28" i="120"/>
  <c r="I28" i="120"/>
  <c r="M27" i="120"/>
  <c r="K27" i="120"/>
  <c r="J27" i="120"/>
  <c r="I27" i="120"/>
  <c r="M26" i="120"/>
  <c r="K26" i="120"/>
  <c r="J26" i="120"/>
  <c r="I26" i="120"/>
  <c r="M25" i="120"/>
  <c r="K25" i="120"/>
  <c r="J25" i="120"/>
  <c r="I25" i="120"/>
  <c r="M24" i="120"/>
  <c r="K24" i="120"/>
  <c r="J24" i="120"/>
  <c r="I24" i="120"/>
  <c r="M100" i="119"/>
  <c r="K100" i="119"/>
  <c r="J100" i="119"/>
  <c r="I100" i="119"/>
  <c r="K91" i="119"/>
  <c r="J91" i="119"/>
  <c r="I91" i="119"/>
  <c r="K90" i="119"/>
  <c r="J90" i="119"/>
  <c r="I90" i="119"/>
  <c r="K89" i="119"/>
  <c r="J89" i="119"/>
  <c r="I89" i="119"/>
  <c r="K88" i="119"/>
  <c r="J88" i="119"/>
  <c r="I88" i="119"/>
  <c r="K87" i="119"/>
  <c r="J87" i="119"/>
  <c r="I87" i="119"/>
  <c r="K86" i="119"/>
  <c r="J86" i="119"/>
  <c r="I86" i="119"/>
  <c r="K85" i="119"/>
  <c r="J85" i="119"/>
  <c r="I85" i="119"/>
  <c r="K84" i="119"/>
  <c r="J84" i="119"/>
  <c r="I84" i="119"/>
  <c r="M83" i="119"/>
  <c r="K83" i="119"/>
  <c r="J83" i="119"/>
  <c r="I83" i="119"/>
  <c r="M82" i="119"/>
  <c r="K82" i="119"/>
  <c r="J82" i="119"/>
  <c r="I82" i="119"/>
  <c r="M81" i="119"/>
  <c r="K81" i="119"/>
  <c r="J81" i="119"/>
  <c r="I81" i="119"/>
  <c r="M80" i="119"/>
  <c r="K80" i="119"/>
  <c r="J80" i="119"/>
  <c r="I80" i="119"/>
  <c r="M79" i="119"/>
  <c r="K79" i="119"/>
  <c r="J79" i="119"/>
  <c r="I79" i="119"/>
  <c r="M78" i="119"/>
  <c r="K78" i="119"/>
  <c r="J78" i="119"/>
  <c r="I78" i="119"/>
  <c r="M77" i="119"/>
  <c r="K77" i="119"/>
  <c r="J77" i="119"/>
  <c r="I77" i="119"/>
  <c r="M76" i="119"/>
  <c r="K76" i="119"/>
  <c r="J76" i="119"/>
  <c r="I76" i="119"/>
  <c r="M75" i="119"/>
  <c r="K75" i="119"/>
  <c r="J75" i="119"/>
  <c r="I75" i="119"/>
  <c r="M74" i="119"/>
  <c r="K74" i="119"/>
  <c r="J74" i="119"/>
  <c r="I74" i="119"/>
  <c r="M73" i="119"/>
  <c r="K73" i="119"/>
  <c r="J73" i="119"/>
  <c r="I73" i="119"/>
  <c r="M72" i="119"/>
  <c r="K72" i="119"/>
  <c r="J72" i="119"/>
  <c r="I72" i="119"/>
  <c r="M71" i="119"/>
  <c r="K71" i="119"/>
  <c r="J71" i="119"/>
  <c r="I71" i="119"/>
  <c r="M70" i="119"/>
  <c r="K70" i="119"/>
  <c r="J70" i="119"/>
  <c r="I70" i="119"/>
  <c r="M69" i="119"/>
  <c r="K69" i="119"/>
  <c r="J69" i="119"/>
  <c r="I69" i="119"/>
  <c r="M68" i="119"/>
  <c r="K68" i="119"/>
  <c r="J68" i="119"/>
  <c r="I68" i="119"/>
  <c r="M67" i="119"/>
  <c r="K67" i="119"/>
  <c r="J67" i="119"/>
  <c r="I67" i="119"/>
  <c r="M66" i="119"/>
  <c r="K66" i="119"/>
  <c r="J66" i="119"/>
  <c r="I66" i="119"/>
  <c r="M65" i="119"/>
  <c r="K65" i="119"/>
  <c r="J65" i="119"/>
  <c r="I65" i="119"/>
  <c r="M64" i="119"/>
  <c r="K64" i="119"/>
  <c r="J64" i="119"/>
  <c r="I64" i="119"/>
  <c r="M63" i="119"/>
  <c r="K63" i="119"/>
  <c r="J63" i="119"/>
  <c r="I63" i="119"/>
  <c r="M62" i="119"/>
  <c r="K62" i="119"/>
  <c r="J62" i="119"/>
  <c r="I62" i="119"/>
  <c r="M61" i="119"/>
  <c r="K61" i="119"/>
  <c r="J61" i="119"/>
  <c r="I61" i="119"/>
  <c r="M60" i="119"/>
  <c r="K60" i="119"/>
  <c r="J60" i="119"/>
  <c r="I60" i="119"/>
  <c r="M59" i="119"/>
  <c r="K59" i="119"/>
  <c r="J59" i="119"/>
  <c r="I59" i="119"/>
  <c r="M58" i="119"/>
  <c r="K58" i="119"/>
  <c r="J58" i="119"/>
  <c r="I58" i="119"/>
  <c r="M57" i="119"/>
  <c r="K57" i="119"/>
  <c r="J57" i="119"/>
  <c r="I57" i="119"/>
  <c r="M56" i="119"/>
  <c r="K56" i="119"/>
  <c r="J56" i="119"/>
  <c r="I56" i="119"/>
  <c r="M55" i="119"/>
  <c r="K55" i="119"/>
  <c r="J55" i="119"/>
  <c r="I55" i="119"/>
  <c r="M54" i="119"/>
  <c r="K54" i="119"/>
  <c r="J54" i="119"/>
  <c r="I54" i="119"/>
  <c r="M53" i="119"/>
  <c r="K53" i="119"/>
  <c r="J53" i="119"/>
  <c r="I53" i="119"/>
  <c r="M52" i="119"/>
  <c r="K52" i="119"/>
  <c r="J52" i="119"/>
  <c r="I52" i="119"/>
  <c r="M51" i="119"/>
  <c r="K51" i="119"/>
  <c r="J51" i="119"/>
  <c r="I51" i="119"/>
  <c r="M50" i="119"/>
  <c r="K50" i="119"/>
  <c r="J50" i="119"/>
  <c r="I50" i="119"/>
  <c r="M49" i="119"/>
  <c r="K49" i="119"/>
  <c r="J49" i="119"/>
  <c r="I49" i="119"/>
  <c r="M48" i="119"/>
  <c r="K48" i="119"/>
  <c r="J48" i="119"/>
  <c r="I48" i="119"/>
  <c r="M47" i="119"/>
  <c r="K47" i="119"/>
  <c r="J47" i="119"/>
  <c r="I47" i="119"/>
  <c r="M46" i="119"/>
  <c r="K46" i="119"/>
  <c r="J46" i="119"/>
  <c r="I46" i="119"/>
  <c r="M45" i="119"/>
  <c r="K45" i="119"/>
  <c r="J45" i="119"/>
  <c r="I45" i="119"/>
  <c r="M44" i="119"/>
  <c r="K44" i="119"/>
  <c r="J44" i="119"/>
  <c r="I44" i="119"/>
  <c r="M43" i="119"/>
  <c r="K43" i="119"/>
  <c r="J43" i="119"/>
  <c r="I43" i="119"/>
  <c r="M42" i="119"/>
  <c r="K42" i="119"/>
  <c r="J42" i="119"/>
  <c r="I42" i="119"/>
  <c r="M41" i="119"/>
  <c r="K41" i="119"/>
  <c r="J41" i="119"/>
  <c r="I41" i="119"/>
  <c r="M40" i="119"/>
  <c r="K40" i="119"/>
  <c r="J40" i="119"/>
  <c r="I40" i="119"/>
  <c r="M39" i="119"/>
  <c r="K39" i="119"/>
  <c r="J39" i="119"/>
  <c r="I39" i="119"/>
  <c r="M38" i="119"/>
  <c r="K38" i="119"/>
  <c r="J38" i="119"/>
  <c r="I38" i="119"/>
  <c r="M37" i="119"/>
  <c r="K37" i="119"/>
  <c r="J37" i="119"/>
  <c r="I37" i="119"/>
  <c r="M36" i="119"/>
  <c r="K36" i="119"/>
  <c r="J36" i="119"/>
  <c r="I36" i="119"/>
  <c r="M35" i="119"/>
  <c r="K35" i="119"/>
  <c r="J35" i="119"/>
  <c r="I35" i="119"/>
  <c r="M34" i="119"/>
  <c r="K34" i="119"/>
  <c r="J34" i="119"/>
  <c r="I34" i="119"/>
  <c r="M33" i="119"/>
  <c r="K33" i="119"/>
  <c r="J33" i="119"/>
  <c r="I33" i="119"/>
  <c r="M32" i="119"/>
  <c r="K32" i="119"/>
  <c r="J32" i="119"/>
  <c r="I32" i="119"/>
  <c r="M31" i="119"/>
  <c r="K31" i="119"/>
  <c r="J31" i="119"/>
  <c r="I31" i="119"/>
  <c r="M30" i="119"/>
  <c r="K30" i="119"/>
  <c r="J30" i="119"/>
  <c r="I30" i="119"/>
  <c r="M29" i="119"/>
  <c r="K29" i="119"/>
  <c r="J29" i="119"/>
  <c r="I29" i="119"/>
  <c r="M28" i="119"/>
  <c r="K28" i="119"/>
  <c r="J28" i="119"/>
  <c r="I28" i="119"/>
  <c r="M27" i="119"/>
  <c r="K27" i="119"/>
  <c r="J27" i="119"/>
  <c r="I27" i="119"/>
  <c r="M26" i="119"/>
  <c r="K26" i="119"/>
  <c r="J26" i="119"/>
  <c r="I26" i="119"/>
  <c r="M25" i="119"/>
  <c r="K25" i="119"/>
  <c r="J25" i="119"/>
  <c r="I25" i="119"/>
  <c r="M24" i="119"/>
  <c r="K24" i="119"/>
  <c r="J24" i="119"/>
  <c r="I24" i="119"/>
  <c r="M23" i="119"/>
  <c r="K23" i="119"/>
  <c r="J23" i="119"/>
  <c r="I23" i="119"/>
  <c r="M83" i="118"/>
  <c r="K83" i="118"/>
  <c r="J83" i="118"/>
  <c r="I83" i="118"/>
  <c r="M75" i="118"/>
  <c r="K75" i="118"/>
  <c r="J75" i="118"/>
  <c r="I75" i="118"/>
  <c r="M74" i="118"/>
  <c r="K74" i="118"/>
  <c r="J74" i="118"/>
  <c r="I74" i="118"/>
  <c r="M73" i="118"/>
  <c r="K73" i="118"/>
  <c r="J73" i="118"/>
  <c r="I73" i="118"/>
  <c r="M72" i="118"/>
  <c r="K72" i="118"/>
  <c r="J72" i="118"/>
  <c r="I72" i="118"/>
  <c r="M71" i="118"/>
  <c r="K71" i="118"/>
  <c r="J71" i="118"/>
  <c r="I71" i="118"/>
  <c r="M70" i="118"/>
  <c r="K70" i="118"/>
  <c r="J70" i="118"/>
  <c r="I70" i="118"/>
  <c r="M69" i="118"/>
  <c r="K69" i="118"/>
  <c r="J69" i="118"/>
  <c r="I69" i="118"/>
  <c r="M68" i="118"/>
  <c r="K68" i="118"/>
  <c r="J68" i="118"/>
  <c r="I68" i="118"/>
  <c r="M67" i="118"/>
  <c r="K67" i="118"/>
  <c r="J67" i="118"/>
  <c r="I67" i="118"/>
  <c r="M66" i="118"/>
  <c r="K66" i="118"/>
  <c r="J66" i="118"/>
  <c r="I66" i="118"/>
  <c r="M65" i="118"/>
  <c r="K65" i="118"/>
  <c r="J65" i="118"/>
  <c r="I65" i="118"/>
  <c r="M64" i="118"/>
  <c r="K64" i="118"/>
  <c r="J64" i="118"/>
  <c r="I64" i="118"/>
  <c r="M63" i="118"/>
  <c r="K63" i="118"/>
  <c r="J63" i="118"/>
  <c r="I63" i="118"/>
  <c r="M62" i="118"/>
  <c r="M61" i="118"/>
  <c r="M60" i="118"/>
  <c r="M59" i="118"/>
  <c r="M58" i="118"/>
  <c r="M57" i="118"/>
  <c r="M56" i="118"/>
  <c r="K56" i="118"/>
  <c r="J56" i="118"/>
  <c r="I56" i="118"/>
  <c r="M55" i="118"/>
  <c r="K55" i="118"/>
  <c r="J55" i="118"/>
  <c r="I55" i="118"/>
  <c r="M54" i="118"/>
  <c r="K54" i="118"/>
  <c r="J54" i="118"/>
  <c r="I54" i="118"/>
  <c r="M53" i="118"/>
  <c r="K53" i="118"/>
  <c r="J53" i="118"/>
  <c r="I53" i="118"/>
  <c r="M52" i="118"/>
  <c r="K52" i="118"/>
  <c r="J52" i="118"/>
  <c r="I52" i="118"/>
  <c r="M51" i="118"/>
  <c r="K51" i="118"/>
  <c r="J51" i="118"/>
  <c r="I51" i="118"/>
  <c r="M50" i="118"/>
  <c r="K50" i="118"/>
  <c r="J50" i="118"/>
  <c r="I50" i="118"/>
  <c r="M49" i="118"/>
  <c r="K49" i="118"/>
  <c r="J49" i="118"/>
  <c r="I49" i="118"/>
  <c r="M48" i="118"/>
  <c r="K48" i="118"/>
  <c r="J48" i="118"/>
  <c r="I48" i="118"/>
  <c r="M47" i="118"/>
  <c r="K47" i="118"/>
  <c r="J47" i="118"/>
  <c r="I47" i="118"/>
  <c r="M46" i="118"/>
  <c r="K46" i="118"/>
  <c r="J46" i="118"/>
  <c r="I46" i="118"/>
  <c r="M45" i="118"/>
  <c r="K45" i="118"/>
  <c r="J45" i="118"/>
  <c r="I45" i="118"/>
  <c r="M44" i="118"/>
  <c r="K44" i="118"/>
  <c r="J44" i="118"/>
  <c r="I44" i="118"/>
  <c r="M43" i="118"/>
  <c r="K43" i="118"/>
  <c r="J43" i="118"/>
  <c r="I43" i="118"/>
  <c r="M42" i="118"/>
  <c r="K42" i="118"/>
  <c r="J42" i="118"/>
  <c r="I42" i="118"/>
  <c r="M41" i="118"/>
  <c r="K41" i="118"/>
  <c r="J41" i="118"/>
  <c r="I41" i="118"/>
  <c r="M40" i="118"/>
  <c r="K40" i="118"/>
  <c r="J40" i="118"/>
  <c r="I40" i="118"/>
  <c r="M39" i="118"/>
  <c r="K39" i="118"/>
  <c r="J39" i="118"/>
  <c r="I39" i="118"/>
  <c r="M38" i="118"/>
  <c r="K38" i="118"/>
  <c r="J38" i="118"/>
  <c r="I38" i="118"/>
  <c r="M37" i="118"/>
  <c r="K37" i="118"/>
  <c r="J37" i="118"/>
  <c r="I37" i="118"/>
  <c r="M36" i="118"/>
  <c r="K36" i="118"/>
  <c r="J36" i="118"/>
  <c r="I36" i="118"/>
  <c r="M35" i="118"/>
  <c r="K35" i="118"/>
  <c r="J35" i="118"/>
  <c r="I35" i="118"/>
  <c r="M34" i="118"/>
  <c r="K34" i="118"/>
  <c r="J34" i="118"/>
  <c r="I34" i="118"/>
  <c r="M33" i="118"/>
  <c r="K33" i="118"/>
  <c r="J33" i="118"/>
  <c r="I33" i="118"/>
  <c r="M32" i="118"/>
  <c r="K32" i="118"/>
  <c r="J32" i="118"/>
  <c r="I32" i="118"/>
  <c r="M31" i="118"/>
  <c r="K31" i="118"/>
  <c r="J31" i="118"/>
  <c r="I31" i="118"/>
  <c r="M30" i="118"/>
  <c r="K30" i="118"/>
  <c r="J30" i="118"/>
  <c r="I30" i="118"/>
  <c r="M29" i="118"/>
  <c r="K29" i="118"/>
  <c r="J29" i="118"/>
  <c r="I29" i="118"/>
  <c r="M28" i="118"/>
  <c r="K28" i="118"/>
  <c r="J28" i="118"/>
  <c r="I28" i="118"/>
  <c r="M27" i="118"/>
  <c r="K27" i="118"/>
  <c r="J27" i="118"/>
  <c r="I27" i="118"/>
  <c r="M26" i="118"/>
  <c r="K26" i="118"/>
  <c r="J26" i="118"/>
  <c r="I26" i="118"/>
  <c r="M25" i="118"/>
  <c r="K25" i="118"/>
  <c r="J25" i="118"/>
  <c r="I25" i="118"/>
  <c r="M24" i="118"/>
  <c r="K24" i="118"/>
  <c r="J24" i="118"/>
  <c r="I24" i="118"/>
  <c r="M23" i="118"/>
  <c r="K23" i="118"/>
  <c r="J23" i="118"/>
  <c r="I23" i="118"/>
  <c r="D70" i="46" l="1"/>
  <c r="D68" i="46"/>
  <c r="D66" i="46"/>
  <c r="D64" i="46"/>
  <c r="B34" i="46"/>
  <c r="B32" i="46"/>
  <c r="B30" i="46"/>
  <c r="B28" i="46"/>
  <c r="B39" i="46" l="1"/>
  <c r="B35" i="46"/>
  <c r="B33" i="46"/>
  <c r="B31" i="46"/>
  <c r="B29" i="46"/>
  <c r="G35" i="131"/>
  <c r="G37" i="131" s="1"/>
  <c r="O7" i="131" s="1"/>
  <c r="G29" i="131"/>
  <c r="A26" i="131"/>
  <c r="A27" i="131" s="1"/>
  <c r="A35" i="131" s="1"/>
  <c r="G7" i="131"/>
  <c r="E72" i="46" s="1"/>
  <c r="G2" i="131"/>
  <c r="G40" i="130"/>
  <c r="G42" i="130" s="1"/>
  <c r="O7" i="130" s="1"/>
  <c r="G34" i="130"/>
  <c r="A26" i="130"/>
  <c r="A27" i="130" s="1"/>
  <c r="A28" i="130" s="1"/>
  <c r="A29" i="130" s="1"/>
  <c r="A30" i="130" s="1"/>
  <c r="A31" i="130" s="1"/>
  <c r="A32" i="130" s="1"/>
  <c r="A40" i="130" s="1"/>
  <c r="G7" i="130"/>
  <c r="G2" i="130"/>
  <c r="G36" i="129"/>
  <c r="G38" i="129" s="1"/>
  <c r="O7" i="129" s="1"/>
  <c r="G30" i="129"/>
  <c r="A26" i="129"/>
  <c r="A27" i="129" s="1"/>
  <c r="A28" i="129" s="1"/>
  <c r="A36" i="129" s="1"/>
  <c r="G7" i="129"/>
  <c r="G2" i="129"/>
  <c r="O7" i="128"/>
  <c r="A34" i="128"/>
  <c r="G7" i="128"/>
  <c r="G2" i="128"/>
  <c r="E68" i="46" l="1"/>
  <c r="G8" i="129"/>
  <c r="E70" i="46"/>
  <c r="G8" i="130"/>
  <c r="G8" i="131"/>
  <c r="H72" i="46" s="1"/>
  <c r="G8" i="128"/>
  <c r="I66" i="46" l="1"/>
  <c r="G5" i="122"/>
  <c r="D62" i="46"/>
  <c r="D60" i="46"/>
  <c r="D58" i="46"/>
  <c r="D56" i="46"/>
  <c r="D54" i="46"/>
  <c r="D52" i="46"/>
  <c r="D50" i="46"/>
  <c r="D48" i="46"/>
  <c r="D46" i="46"/>
  <c r="B26" i="46"/>
  <c r="B24" i="46"/>
  <c r="B22" i="46"/>
  <c r="B20" i="46"/>
  <c r="B18" i="46"/>
  <c r="B16" i="46"/>
  <c r="B14" i="46"/>
  <c r="B12" i="46"/>
  <c r="B10" i="46"/>
  <c r="C68" i="46" l="1"/>
  <c r="C66" i="46"/>
  <c r="C70" i="46"/>
  <c r="B27" i="46"/>
  <c r="B25" i="46"/>
  <c r="B23" i="46"/>
  <c r="B21" i="46"/>
  <c r="B19" i="46"/>
  <c r="B17" i="46"/>
  <c r="B15" i="46"/>
  <c r="B13" i="46"/>
  <c r="B11" i="46"/>
  <c r="G40" i="127" l="1"/>
  <c r="G42" i="127" s="1"/>
  <c r="O7" i="127" s="1"/>
  <c r="G34" i="127"/>
  <c r="A26" i="127"/>
  <c r="A27" i="127" s="1"/>
  <c r="A28" i="127" s="1"/>
  <c r="A29" i="127" s="1"/>
  <c r="A30" i="127" s="1"/>
  <c r="A31" i="127" s="1"/>
  <c r="A32" i="127" s="1"/>
  <c r="A40" i="127" s="1"/>
  <c r="G7" i="127"/>
  <c r="G2" i="127"/>
  <c r="G35" i="126"/>
  <c r="G37" i="126" s="1"/>
  <c r="O7" i="126" s="1"/>
  <c r="G29" i="126"/>
  <c r="A26" i="126"/>
  <c r="A27" i="126" s="1"/>
  <c r="A35" i="126" s="1"/>
  <c r="G7" i="126"/>
  <c r="G2" i="126"/>
  <c r="G41" i="125"/>
  <c r="G43" i="125" s="1"/>
  <c r="O7" i="125" s="1"/>
  <c r="G35" i="125"/>
  <c r="A26" i="125"/>
  <c r="A27" i="125" s="1"/>
  <c r="A28" i="125" s="1"/>
  <c r="A29" i="125" s="1"/>
  <c r="A30" i="125" s="1"/>
  <c r="A31" i="125" s="1"/>
  <c r="A32" i="125" s="1"/>
  <c r="A33" i="125" s="1"/>
  <c r="G7" i="125"/>
  <c r="G2" i="125"/>
  <c r="G57" i="124"/>
  <c r="O7" i="124" s="1"/>
  <c r="G49" i="124"/>
  <c r="A26" i="124"/>
  <c r="A27" i="124" s="1"/>
  <c r="A28" i="124" s="1"/>
  <c r="A29" i="124" s="1"/>
  <c r="A30" i="124" s="1"/>
  <c r="A31" i="124" s="1"/>
  <c r="A32" i="124" s="1"/>
  <c r="A33" i="124" s="1"/>
  <c r="A34" i="124" s="1"/>
  <c r="G7" i="124"/>
  <c r="G2" i="124"/>
  <c r="G51" i="123"/>
  <c r="G53" i="123" s="1"/>
  <c r="O7" i="123" s="1"/>
  <c r="G45" i="123"/>
  <c r="O43" i="123"/>
  <c r="N42" i="123"/>
  <c r="N41" i="123"/>
  <c r="N36" i="123"/>
  <c r="N34" i="123"/>
  <c r="N33" i="123"/>
  <c r="N32" i="123"/>
  <c r="N30" i="123"/>
  <c r="N29" i="123"/>
  <c r="N28" i="123"/>
  <c r="N26" i="123"/>
  <c r="N25" i="123"/>
  <c r="N24" i="123"/>
  <c r="A24" i="123"/>
  <c r="A25" i="123" s="1"/>
  <c r="A26" i="123" s="1"/>
  <c r="A27" i="123" s="1"/>
  <c r="A28" i="123" s="1"/>
  <c r="A29" i="123" s="1"/>
  <c r="A30" i="123" s="1"/>
  <c r="A31" i="123" s="1"/>
  <c r="A32" i="123" s="1"/>
  <c r="A33" i="123" s="1"/>
  <c r="A34" i="123" s="1"/>
  <c r="A35" i="123" s="1"/>
  <c r="A36" i="123" s="1"/>
  <c r="A37" i="123" s="1"/>
  <c r="A38" i="123" s="1"/>
  <c r="A39" i="123" s="1"/>
  <c r="A40" i="123" s="1"/>
  <c r="A41" i="123" s="1"/>
  <c r="A42" i="123" s="1"/>
  <c r="A43" i="123" s="1"/>
  <c r="A51" i="123" s="1"/>
  <c r="G7" i="123"/>
  <c r="E56" i="46" s="1"/>
  <c r="G2" i="123"/>
  <c r="G45" i="122"/>
  <c r="G47" i="122" s="1"/>
  <c r="O7" i="122" s="1"/>
  <c r="G39" i="122"/>
  <c r="N37" i="122"/>
  <c r="N36" i="122"/>
  <c r="N35" i="122"/>
  <c r="N34" i="122"/>
  <c r="N33" i="122"/>
  <c r="N32" i="122"/>
  <c r="N31" i="122"/>
  <c r="N30" i="122"/>
  <c r="N28" i="122"/>
  <c r="N27" i="122"/>
  <c r="O25" i="122"/>
  <c r="N24" i="122"/>
  <c r="A24" i="122"/>
  <c r="A25" i="122" s="1"/>
  <c r="A26" i="122" s="1"/>
  <c r="A27" i="122" s="1"/>
  <c r="A28" i="122" s="1"/>
  <c r="A29" i="122" s="1"/>
  <c r="A30" i="122" s="1"/>
  <c r="A31" i="122" s="1"/>
  <c r="A32" i="122" s="1"/>
  <c r="A33" i="122" s="1"/>
  <c r="A34" i="122" s="1"/>
  <c r="A35" i="122" s="1"/>
  <c r="A36" i="122" s="1"/>
  <c r="A37" i="122" s="1"/>
  <c r="A45" i="122" s="1"/>
  <c r="N23" i="122"/>
  <c r="G7" i="122"/>
  <c r="E54" i="46" s="1"/>
  <c r="G2" i="122"/>
  <c r="G52" i="121"/>
  <c r="G54" i="121" s="1"/>
  <c r="O7" i="121" s="1"/>
  <c r="G46" i="121"/>
  <c r="N44" i="121"/>
  <c r="N42" i="121"/>
  <c r="N39" i="121"/>
  <c r="O38" i="121"/>
  <c r="N37" i="121"/>
  <c r="N35" i="121"/>
  <c r="N31" i="121"/>
  <c r="N29" i="121"/>
  <c r="O28" i="121"/>
  <c r="N27" i="121"/>
  <c r="N25" i="121"/>
  <c r="A24" i="121"/>
  <c r="A25" i="121" s="1"/>
  <c r="A26" i="121" s="1"/>
  <c r="A27" i="121" s="1"/>
  <c r="A28" i="121" s="1"/>
  <c r="A29" i="121" s="1"/>
  <c r="A30" i="121" s="1"/>
  <c r="A31" i="121" s="1"/>
  <c r="A32" i="121" s="1"/>
  <c r="A33" i="121" s="1"/>
  <c r="A34" i="121" s="1"/>
  <c r="A35" i="121" s="1"/>
  <c r="A36" i="121" s="1"/>
  <c r="A37" i="121" s="1"/>
  <c r="A38" i="121" s="1"/>
  <c r="A39" i="121" s="1"/>
  <c r="A40" i="121" s="1"/>
  <c r="A41" i="121" s="1"/>
  <c r="A42" i="121" s="1"/>
  <c r="A43" i="121" s="1"/>
  <c r="A44" i="121" s="1"/>
  <c r="A52" i="121" s="1"/>
  <c r="N23" i="121"/>
  <c r="G7" i="121"/>
  <c r="E52" i="46" s="1"/>
  <c r="G2" i="121"/>
  <c r="G100" i="120"/>
  <c r="G102" i="120" s="1"/>
  <c r="O7" i="120" s="1"/>
  <c r="G94" i="120"/>
  <c r="N90" i="120"/>
  <c r="N89" i="120"/>
  <c r="N86" i="120"/>
  <c r="O83" i="120"/>
  <c r="N82" i="120"/>
  <c r="N80" i="120"/>
  <c r="N75" i="120"/>
  <c r="N69" i="120"/>
  <c r="N67" i="120"/>
  <c r="N65" i="120"/>
  <c r="O64" i="120"/>
  <c r="N53" i="120"/>
  <c r="N51" i="120"/>
  <c r="N49" i="120"/>
  <c r="N47" i="120"/>
  <c r="N37" i="120"/>
  <c r="N35" i="120"/>
  <c r="N31" i="120"/>
  <c r="N27" i="120"/>
  <c r="A24" i="120"/>
  <c r="A25" i="120" s="1"/>
  <c r="A26" i="120" s="1"/>
  <c r="A27" i="120" s="1"/>
  <c r="A28" i="120" s="1"/>
  <c r="A29" i="120" s="1"/>
  <c r="A30" i="120" s="1"/>
  <c r="A31" i="120" s="1"/>
  <c r="A32" i="120" s="1"/>
  <c r="A33" i="120" s="1"/>
  <c r="A34" i="120" s="1"/>
  <c r="A35" i="120" s="1"/>
  <c r="G7" i="120"/>
  <c r="E50" i="46" s="1"/>
  <c r="G2" i="120"/>
  <c r="G102" i="119"/>
  <c r="O7" i="119" s="1"/>
  <c r="G94" i="119"/>
  <c r="N82" i="119"/>
  <c r="N81" i="119"/>
  <c r="N78" i="119"/>
  <c r="N77" i="119"/>
  <c r="N76" i="119"/>
  <c r="N74" i="119"/>
  <c r="N73" i="119"/>
  <c r="N70" i="119"/>
  <c r="N69" i="119"/>
  <c r="N66" i="119"/>
  <c r="N65" i="119"/>
  <c r="N62" i="119"/>
  <c r="N61" i="119"/>
  <c r="N58" i="119"/>
  <c r="N57" i="119"/>
  <c r="N55" i="119"/>
  <c r="N54" i="119"/>
  <c r="N53" i="119"/>
  <c r="N50" i="119"/>
  <c r="N49" i="119"/>
  <c r="N46" i="119"/>
  <c r="N45" i="119"/>
  <c r="N42" i="119"/>
  <c r="N41" i="119"/>
  <c r="N38" i="119"/>
  <c r="N37" i="119"/>
  <c r="N34" i="119"/>
  <c r="N33" i="119"/>
  <c r="N30" i="119"/>
  <c r="N29" i="119"/>
  <c r="N26" i="119"/>
  <c r="N25" i="119"/>
  <c r="A24" i="119"/>
  <c r="A25" i="119" s="1"/>
  <c r="A26" i="119" s="1"/>
  <c r="A27" i="119" s="1"/>
  <c r="A28" i="119" s="1"/>
  <c r="A29" i="119" s="1"/>
  <c r="A30" i="119" s="1"/>
  <c r="A31" i="119" s="1"/>
  <c r="A32" i="119" s="1"/>
  <c r="A33" i="119" s="1"/>
  <c r="A34" i="119" s="1"/>
  <c r="A35" i="119" s="1"/>
  <c r="A36" i="119" s="1"/>
  <c r="A37" i="119" s="1"/>
  <c r="A38" i="119" s="1"/>
  <c r="A39" i="119" s="1"/>
  <c r="A40" i="119" s="1"/>
  <c r="A41" i="119" s="1"/>
  <c r="A42" i="119" s="1"/>
  <c r="A43" i="119" s="1"/>
  <c r="A44" i="119" s="1"/>
  <c r="A45" i="119" s="1"/>
  <c r="A46" i="119" s="1"/>
  <c r="A47" i="119" s="1"/>
  <c r="A48" i="119" s="1"/>
  <c r="A49" i="119" s="1"/>
  <c r="A50" i="119" s="1"/>
  <c r="A51" i="119" s="1"/>
  <c r="A52" i="119" s="1"/>
  <c r="A53" i="119" s="1"/>
  <c r="A54" i="119" s="1"/>
  <c r="A55" i="119" s="1"/>
  <c r="A56" i="119" s="1"/>
  <c r="A57" i="119" s="1"/>
  <c r="A58" i="119" s="1"/>
  <c r="A59" i="119" s="1"/>
  <c r="A60" i="119" s="1"/>
  <c r="A61" i="119" s="1"/>
  <c r="A62" i="119" s="1"/>
  <c r="A63" i="119" s="1"/>
  <c r="A64" i="119" s="1"/>
  <c r="A65" i="119" s="1"/>
  <c r="A66" i="119" s="1"/>
  <c r="A67" i="119" s="1"/>
  <c r="A68" i="119" s="1"/>
  <c r="A69" i="119" s="1"/>
  <c r="A70" i="119" s="1"/>
  <c r="A71" i="119" s="1"/>
  <c r="A72" i="119" s="1"/>
  <c r="A73" i="119" s="1"/>
  <c r="A74" i="119" s="1"/>
  <c r="A75" i="119" s="1"/>
  <c r="A76" i="119" s="1"/>
  <c r="A77" i="119" s="1"/>
  <c r="A78" i="119" s="1"/>
  <c r="A79" i="119" s="1"/>
  <c r="A80" i="119" s="1"/>
  <c r="A81" i="119" s="1"/>
  <c r="A82" i="119" s="1"/>
  <c r="A83" i="119" s="1"/>
  <c r="A84" i="119" s="1"/>
  <c r="A85" i="119" s="1"/>
  <c r="A86" i="119" s="1"/>
  <c r="A87" i="119" s="1"/>
  <c r="A88" i="119" s="1"/>
  <c r="A89" i="119" s="1"/>
  <c r="A90" i="119" s="1"/>
  <c r="A91" i="119" s="1"/>
  <c r="G7" i="119"/>
  <c r="E48" i="46" s="1"/>
  <c r="G2" i="119"/>
  <c r="G83" i="118"/>
  <c r="G85" i="118" s="1"/>
  <c r="O7" i="118" s="1"/>
  <c r="G77" i="118"/>
  <c r="N72" i="118"/>
  <c r="N70" i="118"/>
  <c r="N68" i="118"/>
  <c r="N64" i="118"/>
  <c r="N62" i="118"/>
  <c r="N60" i="118"/>
  <c r="N56" i="118"/>
  <c r="N50" i="118"/>
  <c r="N47" i="118"/>
  <c r="N46" i="118"/>
  <c r="N44" i="118"/>
  <c r="N43" i="118"/>
  <c r="N42" i="118"/>
  <c r="N39" i="118"/>
  <c r="N38" i="118"/>
  <c r="N35" i="118"/>
  <c r="N31" i="118"/>
  <c r="N28" i="118"/>
  <c r="N27" i="118"/>
  <c r="A24" i="118"/>
  <c r="A25" i="118" s="1"/>
  <c r="A26" i="118" s="1"/>
  <c r="A27" i="118" s="1"/>
  <c r="A28" i="118" s="1"/>
  <c r="A29" i="118" s="1"/>
  <c r="A30" i="118" s="1"/>
  <c r="A31" i="118" s="1"/>
  <c r="A32" i="118" s="1"/>
  <c r="A33" i="118" s="1"/>
  <c r="A34" i="118" s="1"/>
  <c r="A35" i="118" s="1"/>
  <c r="A36" i="118" s="1"/>
  <c r="A37" i="118" s="1"/>
  <c r="A38" i="118" s="1"/>
  <c r="A39" i="118" s="1"/>
  <c r="A40" i="118" s="1"/>
  <c r="A41" i="118" s="1"/>
  <c r="A42" i="118" s="1"/>
  <c r="A43" i="118" s="1"/>
  <c r="A44" i="118" s="1"/>
  <c r="A45" i="118" s="1"/>
  <c r="A46" i="118" s="1"/>
  <c r="A47" i="118" s="1"/>
  <c r="A48" i="118" s="1"/>
  <c r="A49" i="118" s="1"/>
  <c r="A50" i="118" s="1"/>
  <c r="A51" i="118" s="1"/>
  <c r="A52" i="118" s="1"/>
  <c r="A53" i="118" s="1"/>
  <c r="A54" i="118" s="1"/>
  <c r="A55" i="118" s="1"/>
  <c r="A56" i="118" s="1"/>
  <c r="A57" i="118" s="1"/>
  <c r="A58" i="118" s="1"/>
  <c r="A59" i="118" s="1"/>
  <c r="A60" i="118" s="1"/>
  <c r="A61" i="118" s="1"/>
  <c r="A62" i="118" s="1"/>
  <c r="A63" i="118" s="1"/>
  <c r="A64" i="118" s="1"/>
  <c r="A65" i="118" s="1"/>
  <c r="A66" i="118" s="1"/>
  <c r="A67" i="118" s="1"/>
  <c r="A68" i="118" s="1"/>
  <c r="A69" i="118" s="1"/>
  <c r="A70" i="118" s="1"/>
  <c r="A71" i="118" s="1"/>
  <c r="A72" i="118" s="1"/>
  <c r="A73" i="118" s="1"/>
  <c r="A74" i="118" s="1"/>
  <c r="A75" i="118" s="1"/>
  <c r="A83" i="118" s="1"/>
  <c r="N23" i="118"/>
  <c r="G7" i="118"/>
  <c r="E46" i="46" s="1"/>
  <c r="G2" i="118"/>
  <c r="E64" i="46" l="1"/>
  <c r="G8" i="127"/>
  <c r="E62" i="46"/>
  <c r="G8" i="126"/>
  <c r="E60" i="46"/>
  <c r="G8" i="125"/>
  <c r="E58" i="46"/>
  <c r="G8" i="124"/>
  <c r="L42" i="130"/>
  <c r="O8" i="130" s="1"/>
  <c r="L38" i="129"/>
  <c r="O8" i="129" s="1"/>
  <c r="O8" i="128"/>
  <c r="L37" i="131"/>
  <c r="O8" i="131" s="1"/>
  <c r="H73" i="46" s="1"/>
  <c r="A35" i="124"/>
  <c r="A36" i="124" s="1"/>
  <c r="A92" i="119"/>
  <c r="A100" i="119" s="1"/>
  <c r="N51" i="123"/>
  <c r="N45" i="122"/>
  <c r="N77" i="120"/>
  <c r="A37" i="120"/>
  <c r="A38" i="120" s="1"/>
  <c r="A39" i="120" s="1"/>
  <c r="A40" i="120" s="1"/>
  <c r="A41" i="120" s="1"/>
  <c r="A42" i="120" s="1"/>
  <c r="A43" i="120" s="1"/>
  <c r="A44" i="120" s="1"/>
  <c r="A45" i="120" s="1"/>
  <c r="A46" i="120" s="1"/>
  <c r="A47" i="120" s="1"/>
  <c r="A48" i="120" s="1"/>
  <c r="A49" i="120" s="1"/>
  <c r="A50" i="120" s="1"/>
  <c r="A51" i="120" s="1"/>
  <c r="A52" i="120" s="1"/>
  <c r="A53" i="120" s="1"/>
  <c r="A54" i="120" s="1"/>
  <c r="A55" i="120" s="1"/>
  <c r="A56" i="120" s="1"/>
  <c r="A57" i="120" s="1"/>
  <c r="A58" i="120" s="1"/>
  <c r="A59" i="120" s="1"/>
  <c r="A60" i="120" s="1"/>
  <c r="A61" i="120" s="1"/>
  <c r="A62" i="120" s="1"/>
  <c r="N28" i="119"/>
  <c r="H66" i="46"/>
  <c r="L30" i="129"/>
  <c r="L29" i="131"/>
  <c r="L34" i="130"/>
  <c r="N83" i="119"/>
  <c r="N57" i="120"/>
  <c r="N40" i="118"/>
  <c r="N33" i="121"/>
  <c r="N43" i="120"/>
  <c r="N52" i="118"/>
  <c r="N30" i="118"/>
  <c r="N51" i="119"/>
  <c r="N74" i="120"/>
  <c r="N41" i="121"/>
  <c r="N29" i="120"/>
  <c r="N84" i="120"/>
  <c r="N40" i="119"/>
  <c r="N60" i="119"/>
  <c r="N71" i="119"/>
  <c r="N66" i="118"/>
  <c r="N24" i="121"/>
  <c r="O37" i="121"/>
  <c r="O44" i="121"/>
  <c r="O54" i="119"/>
  <c r="N41" i="120"/>
  <c r="N59" i="120"/>
  <c r="N36" i="121"/>
  <c r="N43" i="121"/>
  <c r="N25" i="120"/>
  <c r="N45" i="120"/>
  <c r="N55" i="120"/>
  <c r="N72" i="120"/>
  <c r="N54" i="118"/>
  <c r="N74" i="118"/>
  <c r="N35" i="119"/>
  <c r="N47" i="119"/>
  <c r="O35" i="121"/>
  <c r="N39" i="120"/>
  <c r="N61" i="120"/>
  <c r="N83" i="120"/>
  <c r="N43" i="123"/>
  <c r="O33" i="123"/>
  <c r="N24" i="118"/>
  <c r="N32" i="118"/>
  <c r="N58" i="118"/>
  <c r="N36" i="118"/>
  <c r="N48" i="118"/>
  <c r="N26" i="118"/>
  <c r="N34" i="118"/>
  <c r="N52" i="120"/>
  <c r="N68" i="120"/>
  <c r="N39" i="119"/>
  <c r="N40" i="120"/>
  <c r="N56" i="120"/>
  <c r="N73" i="120"/>
  <c r="N24" i="119"/>
  <c r="N31" i="119"/>
  <c r="N72" i="119"/>
  <c r="N79" i="119"/>
  <c r="N24" i="120"/>
  <c r="N44" i="120"/>
  <c r="N60" i="120"/>
  <c r="N71" i="120"/>
  <c r="N78" i="120"/>
  <c r="N87" i="120"/>
  <c r="N92" i="120"/>
  <c r="N44" i="119"/>
  <c r="N56" i="119"/>
  <c r="N63" i="119"/>
  <c r="N67" i="119"/>
  <c r="N28" i="120"/>
  <c r="N33" i="120"/>
  <c r="N48" i="120"/>
  <c r="N64" i="120"/>
  <c r="N70" i="120"/>
  <c r="N76" i="120"/>
  <c r="N91" i="120"/>
  <c r="O70" i="119"/>
  <c r="N32" i="120"/>
  <c r="N28" i="121"/>
  <c r="N32" i="121"/>
  <c r="N25" i="122"/>
  <c r="N40" i="121"/>
  <c r="N29" i="122"/>
  <c r="N31" i="123"/>
  <c r="N39" i="123"/>
  <c r="N25" i="118"/>
  <c r="N29" i="118"/>
  <c r="N33" i="118"/>
  <c r="N37" i="118"/>
  <c r="N41" i="118"/>
  <c r="N45" i="118"/>
  <c r="N49" i="118"/>
  <c r="N53" i="118"/>
  <c r="N57" i="118"/>
  <c r="N61" i="118"/>
  <c r="N65" i="118"/>
  <c r="N69" i="118"/>
  <c r="N73" i="118"/>
  <c r="N32" i="119"/>
  <c r="N48" i="119"/>
  <c r="N88" i="120"/>
  <c r="N83" i="118"/>
  <c r="N64" i="119"/>
  <c r="N80" i="119"/>
  <c r="N51" i="118"/>
  <c r="N55" i="118"/>
  <c r="N59" i="118"/>
  <c r="N63" i="118"/>
  <c r="N67" i="118"/>
  <c r="N71" i="118"/>
  <c r="N75" i="118"/>
  <c r="N23" i="119"/>
  <c r="N36" i="119"/>
  <c r="N52" i="119"/>
  <c r="N68" i="119"/>
  <c r="N27" i="119"/>
  <c r="N43" i="119"/>
  <c r="N59" i="119"/>
  <c r="N75" i="119"/>
  <c r="N100" i="119"/>
  <c r="N26" i="120"/>
  <c r="N30" i="120"/>
  <c r="N34" i="120"/>
  <c r="N38" i="120"/>
  <c r="N42" i="120"/>
  <c r="N46" i="120"/>
  <c r="N50" i="120"/>
  <c r="N54" i="120"/>
  <c r="N58" i="120"/>
  <c r="N62" i="120"/>
  <c r="N66" i="120"/>
  <c r="N79" i="120"/>
  <c r="N85" i="120"/>
  <c r="N26" i="122"/>
  <c r="N100" i="120"/>
  <c r="N26" i="121"/>
  <c r="N30" i="121"/>
  <c r="N34" i="121"/>
  <c r="N38" i="121"/>
  <c r="N52" i="121"/>
  <c r="N37" i="123"/>
  <c r="N40" i="123"/>
  <c r="N35" i="123"/>
  <c r="N38" i="123"/>
  <c r="O38" i="123"/>
  <c r="N23" i="123"/>
  <c r="N27" i="123"/>
  <c r="O29" i="123"/>
  <c r="O25" i="123"/>
  <c r="O26" i="123"/>
  <c r="A41" i="125" l="1"/>
  <c r="A37" i="124"/>
  <c r="A38" i="124" s="1"/>
  <c r="A39" i="124" s="1"/>
  <c r="A40" i="124" s="1"/>
  <c r="A41" i="124" s="1"/>
  <c r="A42" i="124" s="1"/>
  <c r="A43" i="124" s="1"/>
  <c r="A44" i="124" s="1"/>
  <c r="A45" i="124" s="1"/>
  <c r="A46" i="124" s="1"/>
  <c r="A47" i="124" s="1"/>
  <c r="A55" i="124" s="1"/>
  <c r="H70" i="46"/>
  <c r="I70" i="46"/>
  <c r="H68" i="46"/>
  <c r="I68" i="46"/>
  <c r="A64" i="120"/>
  <c r="A65" i="120" s="1"/>
  <c r="A66" i="120" s="1"/>
  <c r="A67" i="120" s="1"/>
  <c r="A68" i="120" s="1"/>
  <c r="A69" i="120" s="1"/>
  <c r="A70" i="120" s="1"/>
  <c r="A71" i="120" s="1"/>
  <c r="A72" i="120" s="1"/>
  <c r="A73" i="120" s="1"/>
  <c r="A74" i="120" s="1"/>
  <c r="A75" i="120" s="1"/>
  <c r="A76" i="120" s="1"/>
  <c r="A77" i="120" s="1"/>
  <c r="A78" i="120" s="1"/>
  <c r="A79" i="120" s="1"/>
  <c r="A80" i="120" s="1"/>
  <c r="H69" i="46"/>
  <c r="H67" i="46"/>
  <c r="H71" i="46"/>
  <c r="A82" i="120" l="1"/>
  <c r="A83" i="120" s="1"/>
  <c r="A84" i="120" s="1"/>
  <c r="A85" i="120" s="1"/>
  <c r="A86" i="120" s="1"/>
  <c r="A87" i="120" s="1"/>
  <c r="A88" i="120" s="1"/>
  <c r="A89" i="120" s="1"/>
  <c r="A90" i="120" s="1"/>
  <c r="A91" i="120" s="1"/>
  <c r="A92" i="120" s="1"/>
  <c r="A100" i="120" s="1"/>
  <c r="G5" i="120" l="1"/>
  <c r="G5" i="123"/>
  <c r="G5" i="121"/>
  <c r="G5" i="119"/>
  <c r="G5" i="118"/>
  <c r="C64" i="46"/>
  <c r="B2" i="63"/>
  <c r="D5" i="115"/>
  <c r="C62" i="46" l="1"/>
  <c r="C46" i="46"/>
  <c r="L25" i="118"/>
  <c r="O25" i="118" s="1"/>
  <c r="L69" i="118"/>
  <c r="O69" i="118" s="1"/>
  <c r="L45" i="118"/>
  <c r="O45" i="118" s="1"/>
  <c r="L35" i="118"/>
  <c r="O35" i="118" s="1"/>
  <c r="L31" i="118"/>
  <c r="O31" i="118" s="1"/>
  <c r="L55" i="118"/>
  <c r="O55" i="118" s="1"/>
  <c r="L41" i="118"/>
  <c r="O41" i="118" s="1"/>
  <c r="L57" i="118"/>
  <c r="O57" i="118" s="1"/>
  <c r="L33" i="118"/>
  <c r="O33" i="118" s="1"/>
  <c r="L47" i="118"/>
  <c r="O47" i="118" s="1"/>
  <c r="L63" i="118"/>
  <c r="O63" i="118" s="1"/>
  <c r="L65" i="118"/>
  <c r="O65" i="118" s="1"/>
  <c r="L53" i="118"/>
  <c r="O53" i="118" s="1"/>
  <c r="L75" i="118"/>
  <c r="O75" i="118" s="1"/>
  <c r="L71" i="118"/>
  <c r="O71" i="118" s="1"/>
  <c r="L37" i="118"/>
  <c r="O37" i="118" s="1"/>
  <c r="L29" i="118"/>
  <c r="O29" i="118" s="1"/>
  <c r="L67" i="118"/>
  <c r="O67" i="118" s="1"/>
  <c r="L61" i="118"/>
  <c r="O61" i="118" s="1"/>
  <c r="L43" i="118"/>
  <c r="O43" i="118" s="1"/>
  <c r="L51" i="118"/>
  <c r="O51" i="118" s="1"/>
  <c r="L59" i="118"/>
  <c r="O59" i="118" s="1"/>
  <c r="L49" i="118"/>
  <c r="O49" i="118" s="1"/>
  <c r="L27" i="118"/>
  <c r="O27" i="118" s="1"/>
  <c r="L23" i="118"/>
  <c r="O23" i="118" s="1"/>
  <c r="L73" i="118"/>
  <c r="O73" i="118" s="1"/>
  <c r="L39" i="118"/>
  <c r="O39" i="118" s="1"/>
  <c r="L34" i="118"/>
  <c r="O34" i="118" s="1"/>
  <c r="L50" i="118"/>
  <c r="O50" i="118" s="1"/>
  <c r="L66" i="118"/>
  <c r="O66" i="118" s="1"/>
  <c r="L58" i="118"/>
  <c r="O58" i="118" s="1"/>
  <c r="L83" i="118"/>
  <c r="L44" i="118"/>
  <c r="O44" i="118" s="1"/>
  <c r="L42" i="118"/>
  <c r="O42" i="118" s="1"/>
  <c r="L48" i="118"/>
  <c r="O48" i="118" s="1"/>
  <c r="L64" i="118"/>
  <c r="O64" i="118" s="1"/>
  <c r="L26" i="118"/>
  <c r="O26" i="118" s="1"/>
  <c r="L62" i="118"/>
  <c r="O62" i="118" s="1"/>
  <c r="L46" i="118"/>
  <c r="O46" i="118" s="1"/>
  <c r="L24" i="118"/>
  <c r="O24" i="118" s="1"/>
  <c r="L52" i="118"/>
  <c r="O52" i="118" s="1"/>
  <c r="L68" i="118"/>
  <c r="O68" i="118" s="1"/>
  <c r="L30" i="118"/>
  <c r="O30" i="118" s="1"/>
  <c r="L28" i="118"/>
  <c r="O28" i="118" s="1"/>
  <c r="L70" i="118"/>
  <c r="O70" i="118" s="1"/>
  <c r="L32" i="118"/>
  <c r="O32" i="118" s="1"/>
  <c r="L56" i="118"/>
  <c r="O56" i="118" s="1"/>
  <c r="L72" i="118"/>
  <c r="O72" i="118" s="1"/>
  <c r="L54" i="118"/>
  <c r="O54" i="118" s="1"/>
  <c r="L36" i="118"/>
  <c r="O36" i="118" s="1"/>
  <c r="L38" i="118"/>
  <c r="O38" i="118" s="1"/>
  <c r="L74" i="118"/>
  <c r="O74" i="118" s="1"/>
  <c r="L40" i="118"/>
  <c r="O40" i="118" s="1"/>
  <c r="L60" i="118"/>
  <c r="O60" i="118" s="1"/>
  <c r="C48" i="46"/>
  <c r="L65" i="119"/>
  <c r="O65" i="119" s="1"/>
  <c r="L59" i="119"/>
  <c r="O59" i="119" s="1"/>
  <c r="L27" i="119"/>
  <c r="O27" i="119" s="1"/>
  <c r="L74" i="119"/>
  <c r="O74" i="119" s="1"/>
  <c r="L42" i="119"/>
  <c r="O42" i="119" s="1"/>
  <c r="L77" i="119"/>
  <c r="O77" i="119" s="1"/>
  <c r="L60" i="119"/>
  <c r="O60" i="119" s="1"/>
  <c r="L41" i="119"/>
  <c r="O41" i="119" s="1"/>
  <c r="L40" i="119"/>
  <c r="O40" i="119" s="1"/>
  <c r="L75" i="119"/>
  <c r="O75" i="119" s="1"/>
  <c r="L43" i="119"/>
  <c r="O43" i="119" s="1"/>
  <c r="L58" i="119"/>
  <c r="O58" i="119" s="1"/>
  <c r="L26" i="119"/>
  <c r="O26" i="119" s="1"/>
  <c r="L48" i="119"/>
  <c r="O48" i="119" s="1"/>
  <c r="L53" i="119"/>
  <c r="O53" i="119" s="1"/>
  <c r="L36" i="119"/>
  <c r="O36" i="119" s="1"/>
  <c r="L81" i="119"/>
  <c r="O81" i="119" s="1"/>
  <c r="L51" i="119"/>
  <c r="O51" i="119" s="1"/>
  <c r="L66" i="119"/>
  <c r="O66" i="119" s="1"/>
  <c r="L100" i="119"/>
  <c r="L32" i="119"/>
  <c r="O32" i="119" s="1"/>
  <c r="L57" i="119"/>
  <c r="O57" i="119" s="1"/>
  <c r="L68" i="119"/>
  <c r="O68" i="119" s="1"/>
  <c r="L47" i="119"/>
  <c r="O47" i="119" s="1"/>
  <c r="L62" i="119"/>
  <c r="O62" i="119" s="1"/>
  <c r="L61" i="119"/>
  <c r="O61" i="119" s="1"/>
  <c r="L25" i="119"/>
  <c r="O25" i="119" s="1"/>
  <c r="L52" i="119"/>
  <c r="O52" i="119" s="1"/>
  <c r="L83" i="119"/>
  <c r="O83" i="119" s="1"/>
  <c r="L39" i="119"/>
  <c r="O39" i="119" s="1"/>
  <c r="L54" i="119"/>
  <c r="L45" i="119"/>
  <c r="O45" i="119" s="1"/>
  <c r="L33" i="119"/>
  <c r="O33" i="119" s="1"/>
  <c r="L79" i="119"/>
  <c r="O79" i="119" s="1"/>
  <c r="L35" i="119"/>
  <c r="O35" i="119" s="1"/>
  <c r="L50" i="119"/>
  <c r="O50" i="119" s="1"/>
  <c r="L29" i="119"/>
  <c r="O29" i="119" s="1"/>
  <c r="L72" i="119"/>
  <c r="O72" i="119" s="1"/>
  <c r="L71" i="119"/>
  <c r="O71" i="119" s="1"/>
  <c r="L31" i="119"/>
  <c r="O31" i="119" s="1"/>
  <c r="L46" i="119"/>
  <c r="O46" i="119" s="1"/>
  <c r="L76" i="119"/>
  <c r="O76" i="119" s="1"/>
  <c r="L56" i="119"/>
  <c r="O56" i="119" s="1"/>
  <c r="L67" i="119"/>
  <c r="O67" i="119" s="1"/>
  <c r="L23" i="119"/>
  <c r="O23" i="119" s="1"/>
  <c r="L82" i="119"/>
  <c r="O82" i="119" s="1"/>
  <c r="L38" i="119"/>
  <c r="O38" i="119" s="1"/>
  <c r="L44" i="119"/>
  <c r="O44" i="119" s="1"/>
  <c r="L24" i="119"/>
  <c r="O24" i="119" s="1"/>
  <c r="L69" i="119"/>
  <c r="O69" i="119" s="1"/>
  <c r="L63" i="119"/>
  <c r="O63" i="119" s="1"/>
  <c r="L78" i="119"/>
  <c r="O78" i="119" s="1"/>
  <c r="L34" i="119"/>
  <c r="O34" i="119" s="1"/>
  <c r="L80" i="119"/>
  <c r="O80" i="119" s="1"/>
  <c r="L28" i="119"/>
  <c r="O28" i="119" s="1"/>
  <c r="L37" i="119"/>
  <c r="O37" i="119" s="1"/>
  <c r="L55" i="119"/>
  <c r="O55" i="119" s="1"/>
  <c r="L70" i="119"/>
  <c r="L30" i="119"/>
  <c r="O30" i="119" s="1"/>
  <c r="L64" i="119"/>
  <c r="O64" i="119" s="1"/>
  <c r="L73" i="119"/>
  <c r="O73" i="119" s="1"/>
  <c r="L49" i="119"/>
  <c r="O49" i="119" s="1"/>
  <c r="C60" i="46"/>
  <c r="C52" i="46"/>
  <c r="L52" i="121"/>
  <c r="L35" i="121"/>
  <c r="L37" i="121"/>
  <c r="L31" i="121"/>
  <c r="O31" i="121" s="1"/>
  <c r="L43" i="121"/>
  <c r="O43" i="121" s="1"/>
  <c r="L25" i="121"/>
  <c r="O25" i="121" s="1"/>
  <c r="L41" i="121"/>
  <c r="O41" i="121" s="1"/>
  <c r="L33" i="121"/>
  <c r="O33" i="121" s="1"/>
  <c r="L26" i="121"/>
  <c r="O26" i="121" s="1"/>
  <c r="L39" i="121"/>
  <c r="O39" i="121" s="1"/>
  <c r="L23" i="121"/>
  <c r="O23" i="121" s="1"/>
  <c r="L44" i="121"/>
  <c r="L29" i="121"/>
  <c r="O29" i="121" s="1"/>
  <c r="L27" i="121"/>
  <c r="O27" i="121" s="1"/>
  <c r="L34" i="121"/>
  <c r="O34" i="121" s="1"/>
  <c r="L42" i="121"/>
  <c r="O42" i="121" s="1"/>
  <c r="L38" i="121"/>
  <c r="L30" i="121"/>
  <c r="O30" i="121" s="1"/>
  <c r="L36" i="121"/>
  <c r="O36" i="121" s="1"/>
  <c r="L40" i="121"/>
  <c r="O40" i="121" s="1"/>
  <c r="L24" i="121"/>
  <c r="O24" i="121" s="1"/>
  <c r="L28" i="121"/>
  <c r="L32" i="121"/>
  <c r="O32" i="121" s="1"/>
  <c r="C54" i="46"/>
  <c r="L27" i="122"/>
  <c r="O27" i="122" s="1"/>
  <c r="L33" i="122"/>
  <c r="O33" i="122" s="1"/>
  <c r="L25" i="122"/>
  <c r="L23" i="122"/>
  <c r="O23" i="122" s="1"/>
  <c r="L26" i="122"/>
  <c r="O26" i="122" s="1"/>
  <c r="L34" i="122"/>
  <c r="O34" i="122" s="1"/>
  <c r="L31" i="122"/>
  <c r="O31" i="122" s="1"/>
  <c r="L35" i="122"/>
  <c r="O35" i="122" s="1"/>
  <c r="L30" i="122"/>
  <c r="O30" i="122" s="1"/>
  <c r="L37" i="122"/>
  <c r="O37" i="122" s="1"/>
  <c r="L29" i="122"/>
  <c r="O29" i="122" s="1"/>
  <c r="L45" i="122"/>
  <c r="L36" i="122"/>
  <c r="O36" i="122" s="1"/>
  <c r="L24" i="122"/>
  <c r="O24" i="122" s="1"/>
  <c r="L28" i="122"/>
  <c r="O28" i="122" s="1"/>
  <c r="L32" i="122"/>
  <c r="O32" i="122" s="1"/>
  <c r="C56" i="46"/>
  <c r="L35" i="123"/>
  <c r="O35" i="123" s="1"/>
  <c r="L34" i="123"/>
  <c r="O34" i="123" s="1"/>
  <c r="L40" i="123"/>
  <c r="O40" i="123" s="1"/>
  <c r="L31" i="123"/>
  <c r="O31" i="123" s="1"/>
  <c r="L30" i="123"/>
  <c r="O30" i="123" s="1"/>
  <c r="L36" i="123"/>
  <c r="O36" i="123" s="1"/>
  <c r="L51" i="123"/>
  <c r="L23" i="123"/>
  <c r="O23" i="123" s="1"/>
  <c r="L33" i="123"/>
  <c r="L29" i="123"/>
  <c r="L43" i="123"/>
  <c r="L39" i="123"/>
  <c r="O39" i="123" s="1"/>
  <c r="L38" i="123"/>
  <c r="L28" i="123"/>
  <c r="O28" i="123" s="1"/>
  <c r="L41" i="123"/>
  <c r="O41" i="123" s="1"/>
  <c r="L32" i="123"/>
  <c r="O32" i="123" s="1"/>
  <c r="L37" i="123"/>
  <c r="O37" i="123" s="1"/>
  <c r="L25" i="123"/>
  <c r="L27" i="123"/>
  <c r="O27" i="123" s="1"/>
  <c r="L42" i="123"/>
  <c r="O42" i="123" s="1"/>
  <c r="L24" i="123"/>
  <c r="O24" i="123" s="1"/>
  <c r="L26" i="123"/>
  <c r="C58" i="46"/>
  <c r="C50" i="46"/>
  <c r="L53" i="120"/>
  <c r="O53" i="120" s="1"/>
  <c r="L45" i="120"/>
  <c r="O45" i="120" s="1"/>
  <c r="L84" i="120"/>
  <c r="O84" i="120" s="1"/>
  <c r="L37" i="120"/>
  <c r="O37" i="120" s="1"/>
  <c r="L61" i="120"/>
  <c r="O61" i="120" s="1"/>
  <c r="L25" i="120"/>
  <c r="O25" i="120" s="1"/>
  <c r="L41" i="120"/>
  <c r="O41" i="120" s="1"/>
  <c r="L82" i="120"/>
  <c r="O82" i="120" s="1"/>
  <c r="L74" i="120"/>
  <c r="O74" i="120" s="1"/>
  <c r="L50" i="120"/>
  <c r="O50" i="120" s="1"/>
  <c r="L57" i="120"/>
  <c r="O57" i="120" s="1"/>
  <c r="L33" i="120"/>
  <c r="O33" i="120" s="1"/>
  <c r="L26" i="120"/>
  <c r="O26" i="120" s="1"/>
  <c r="L73" i="120"/>
  <c r="O73" i="120" s="1"/>
  <c r="L27" i="120"/>
  <c r="O27" i="120" s="1"/>
  <c r="L58" i="120"/>
  <c r="O58" i="120" s="1"/>
  <c r="L66" i="120"/>
  <c r="O66" i="120" s="1"/>
  <c r="L54" i="120"/>
  <c r="O54" i="120" s="1"/>
  <c r="L65" i="120"/>
  <c r="O65" i="120" s="1"/>
  <c r="L69" i="120"/>
  <c r="O69" i="120" s="1"/>
  <c r="L77" i="120"/>
  <c r="O77" i="120" s="1"/>
  <c r="L89" i="120"/>
  <c r="O89" i="120" s="1"/>
  <c r="L78" i="120"/>
  <c r="O78" i="120" s="1"/>
  <c r="L90" i="120"/>
  <c r="O90" i="120" s="1"/>
  <c r="L49" i="120"/>
  <c r="O49" i="120" s="1"/>
  <c r="L46" i="120"/>
  <c r="O46" i="120" s="1"/>
  <c r="L29" i="120"/>
  <c r="O29" i="120" s="1"/>
  <c r="L70" i="120"/>
  <c r="O70" i="120" s="1"/>
  <c r="L62" i="120"/>
  <c r="O62" i="120" s="1"/>
  <c r="L85" i="120"/>
  <c r="O85" i="120" s="1"/>
  <c r="L38" i="120"/>
  <c r="O38" i="120" s="1"/>
  <c r="L42" i="120"/>
  <c r="O42" i="120" s="1"/>
  <c r="L34" i="120"/>
  <c r="O34" i="120" s="1"/>
  <c r="L30" i="120"/>
  <c r="O30" i="120" s="1"/>
  <c r="L91" i="120"/>
  <c r="O91" i="120" s="1"/>
  <c r="L68" i="120"/>
  <c r="O68" i="120" s="1"/>
  <c r="L31" i="120"/>
  <c r="O31" i="120" s="1"/>
  <c r="L47" i="120"/>
  <c r="O47" i="120" s="1"/>
  <c r="L87" i="120"/>
  <c r="O87" i="120" s="1"/>
  <c r="L40" i="120"/>
  <c r="O40" i="120" s="1"/>
  <c r="L72" i="120"/>
  <c r="O72" i="120" s="1"/>
  <c r="L83" i="120"/>
  <c r="L44" i="120"/>
  <c r="O44" i="120" s="1"/>
  <c r="L76" i="120"/>
  <c r="O76" i="120" s="1"/>
  <c r="L35" i="120"/>
  <c r="O35" i="120" s="1"/>
  <c r="L51" i="120"/>
  <c r="O51" i="120" s="1"/>
  <c r="L67" i="120"/>
  <c r="O67" i="120" s="1"/>
  <c r="L79" i="120"/>
  <c r="O79" i="120" s="1"/>
  <c r="L100" i="120"/>
  <c r="L48" i="120"/>
  <c r="O48" i="120" s="1"/>
  <c r="L71" i="120"/>
  <c r="O71" i="120" s="1"/>
  <c r="L52" i="120"/>
  <c r="O52" i="120" s="1"/>
  <c r="L39" i="120"/>
  <c r="O39" i="120" s="1"/>
  <c r="L55" i="120"/>
  <c r="O55" i="120" s="1"/>
  <c r="L75" i="120"/>
  <c r="O75" i="120" s="1"/>
  <c r="L80" i="120"/>
  <c r="O80" i="120" s="1"/>
  <c r="L24" i="120"/>
  <c r="O24" i="120" s="1"/>
  <c r="L56" i="120"/>
  <c r="O56" i="120" s="1"/>
  <c r="L92" i="120"/>
  <c r="O92" i="120" s="1"/>
  <c r="L28" i="120"/>
  <c r="O28" i="120" s="1"/>
  <c r="L60" i="120"/>
  <c r="O60" i="120" s="1"/>
  <c r="L88" i="120"/>
  <c r="O88" i="120" s="1"/>
  <c r="L43" i="120"/>
  <c r="O43" i="120" s="1"/>
  <c r="L59" i="120"/>
  <c r="O59" i="120" s="1"/>
  <c r="L86" i="120"/>
  <c r="O86" i="120" s="1"/>
  <c r="L32" i="120"/>
  <c r="O32" i="120" s="1"/>
  <c r="L64" i="120"/>
  <c r="E76" i="46"/>
  <c r="O8" i="124" l="1"/>
  <c r="O8" i="125"/>
  <c r="O8" i="126"/>
  <c r="G9" i="123"/>
  <c r="G10" i="123" s="1"/>
  <c r="F56" i="46" s="1"/>
  <c r="O45" i="123"/>
  <c r="O39" i="122"/>
  <c r="G9" i="122"/>
  <c r="O46" i="121"/>
  <c r="G9" i="121"/>
  <c r="L53" i="123"/>
  <c r="O51" i="123"/>
  <c r="O53" i="123" s="1"/>
  <c r="O9" i="123" s="1"/>
  <c r="G57" i="46" s="1"/>
  <c r="L54" i="121"/>
  <c r="O8" i="121" s="1"/>
  <c r="O52" i="121"/>
  <c r="O54" i="121" s="1"/>
  <c r="O9" i="121" s="1"/>
  <c r="G53" i="46" s="1"/>
  <c r="L85" i="118"/>
  <c r="O8" i="118" s="1"/>
  <c r="O83" i="118"/>
  <c r="O85" i="118" s="1"/>
  <c r="O9" i="118" s="1"/>
  <c r="G47" i="46" s="1"/>
  <c r="L102" i="120"/>
  <c r="O8" i="120" s="1"/>
  <c r="O100" i="120"/>
  <c r="O102" i="120" s="1"/>
  <c r="O9" i="120" s="1"/>
  <c r="G51" i="46" s="1"/>
  <c r="L102" i="119"/>
  <c r="O8" i="119" s="1"/>
  <c r="O100" i="119"/>
  <c r="O102" i="119" s="1"/>
  <c r="O9" i="119" s="1"/>
  <c r="G49" i="46" s="1"/>
  <c r="L47" i="122"/>
  <c r="O8" i="122" s="1"/>
  <c r="O45" i="122"/>
  <c r="O47" i="122" s="1"/>
  <c r="O9" i="122" s="1"/>
  <c r="G55" i="46" s="1"/>
  <c r="G9" i="120"/>
  <c r="G10" i="120" s="1"/>
  <c r="F50" i="46" s="1"/>
  <c r="O94" i="120"/>
  <c r="G9" i="119"/>
  <c r="G10" i="119" s="1"/>
  <c r="F48" i="46" s="1"/>
  <c r="O94" i="119"/>
  <c r="G9" i="118"/>
  <c r="G10" i="118" s="1"/>
  <c r="F46" i="46" s="1"/>
  <c r="O77" i="118"/>
  <c r="L94" i="120"/>
  <c r="G8" i="120"/>
  <c r="H50" i="46" s="1"/>
  <c r="G8" i="122"/>
  <c r="H54" i="46" s="1"/>
  <c r="L39" i="122"/>
  <c r="L45" i="123"/>
  <c r="G8" i="123"/>
  <c r="H56" i="46" s="1"/>
  <c r="L46" i="121"/>
  <c r="G8" i="121"/>
  <c r="H52" i="46" s="1"/>
  <c r="L94" i="119"/>
  <c r="G8" i="119"/>
  <c r="H48" i="46" s="1"/>
  <c r="L77" i="118"/>
  <c r="G8" i="118"/>
  <c r="H46" i="46" s="1"/>
  <c r="I62" i="46"/>
  <c r="O8" i="127"/>
  <c r="H65" i="46" s="1"/>
  <c r="H64" i="46" l="1"/>
  <c r="I64" i="46"/>
  <c r="H60" i="46"/>
  <c r="I60" i="46"/>
  <c r="H58" i="46"/>
  <c r="I58" i="46"/>
  <c r="G11" i="123"/>
  <c r="I56" i="46" s="1"/>
  <c r="G56" i="46"/>
  <c r="M45" i="123"/>
  <c r="M53" i="123"/>
  <c r="O8" i="123"/>
  <c r="O11" i="123" s="1"/>
  <c r="I57" i="46" s="1"/>
  <c r="M39" i="122"/>
  <c r="G54" i="46"/>
  <c r="G11" i="122"/>
  <c r="I54" i="46" s="1"/>
  <c r="G10" i="122"/>
  <c r="F54" i="46" s="1"/>
  <c r="M46" i="121"/>
  <c r="M102" i="120"/>
  <c r="M54" i="121"/>
  <c r="M47" i="122"/>
  <c r="M102" i="119"/>
  <c r="M85" i="118"/>
  <c r="G52" i="46"/>
  <c r="G11" i="121"/>
  <c r="I52" i="46" s="1"/>
  <c r="G10" i="121"/>
  <c r="F52" i="46" s="1"/>
  <c r="G11" i="120"/>
  <c r="I50" i="46" s="1"/>
  <c r="G50" i="46"/>
  <c r="M94" i="120"/>
  <c r="G11" i="119"/>
  <c r="I48" i="46" s="1"/>
  <c r="G48" i="46"/>
  <c r="M94" i="119"/>
  <c r="G46" i="46"/>
  <c r="G11" i="118"/>
  <c r="I46" i="46" s="1"/>
  <c r="M77" i="118"/>
  <c r="H62" i="46"/>
  <c r="H61" i="46"/>
  <c r="H59" i="46"/>
  <c r="O11" i="122"/>
  <c r="I55" i="46" s="1"/>
  <c r="H55" i="46"/>
  <c r="H47" i="46"/>
  <c r="O11" i="118"/>
  <c r="I47" i="46" s="1"/>
  <c r="H63" i="46"/>
  <c r="O11" i="119"/>
  <c r="I49" i="46" s="1"/>
  <c r="H49" i="46"/>
  <c r="H53" i="46"/>
  <c r="O11" i="121"/>
  <c r="I53" i="46" s="1"/>
  <c r="O11" i="120"/>
  <c r="I51" i="46" s="1"/>
  <c r="H51" i="46"/>
  <c r="H57" i="46" l="1"/>
  <c r="H76" i="46" l="1"/>
  <c r="P24" i="128"/>
  <c r="O24" i="128" s="1"/>
  <c r="P24" i="126"/>
  <c r="O24" i="126" s="1"/>
  <c r="P24" i="130"/>
  <c r="O24" i="130" s="1"/>
  <c r="P24" i="124"/>
  <c r="O24" i="124" s="1"/>
  <c r="P36" i="123"/>
  <c r="Q36" i="123" s="1"/>
  <c r="P39" i="123"/>
  <c r="Q39" i="123" s="1"/>
  <c r="P31" i="123"/>
  <c r="Q31" i="123" s="1"/>
  <c r="P37" i="123"/>
  <c r="Q37" i="123" s="1"/>
  <c r="P40" i="123"/>
  <c r="Q40" i="123" s="1"/>
  <c r="P32" i="123"/>
  <c r="Q32" i="123" s="1"/>
  <c r="P38" i="123"/>
  <c r="Q38" i="123" s="1"/>
  <c r="P33" i="122"/>
  <c r="Q33" i="122" s="1"/>
  <c r="P25" i="122"/>
  <c r="Q25" i="122" s="1"/>
  <c r="P34" i="122"/>
  <c r="Q34" i="122" s="1"/>
  <c r="P33" i="123"/>
  <c r="Q33" i="123" s="1"/>
  <c r="P32" i="122"/>
  <c r="Q32" i="122" s="1"/>
  <c r="P29" i="121"/>
  <c r="Q29" i="121" s="1"/>
  <c r="P87" i="120"/>
  <c r="Q87" i="120" s="1"/>
  <c r="P79" i="120"/>
  <c r="Q79" i="120" s="1"/>
  <c r="P57" i="120"/>
  <c r="Q57" i="120" s="1"/>
  <c r="P35" i="120"/>
  <c r="Q35" i="120" s="1"/>
  <c r="P38" i="121"/>
  <c r="Q38" i="121" s="1"/>
  <c r="P77" i="120"/>
  <c r="Q77" i="120" s="1"/>
  <c r="P52" i="120"/>
  <c r="Q52" i="120" s="1"/>
  <c r="P44" i="120"/>
  <c r="Q44" i="120" s="1"/>
  <c r="P44" i="121"/>
  <c r="Q44" i="121" s="1"/>
  <c r="P83" i="120"/>
  <c r="Q83" i="120" s="1"/>
  <c r="P69" i="120"/>
  <c r="Q69" i="120" s="1"/>
  <c r="P31" i="120"/>
  <c r="Q31" i="120" s="1"/>
  <c r="P28" i="121"/>
  <c r="Q28" i="121" s="1"/>
  <c r="P89" i="120"/>
  <c r="Q89" i="120" s="1"/>
  <c r="P72" i="120"/>
  <c r="Q72" i="120" s="1"/>
  <c r="P45" i="120"/>
  <c r="Q45" i="120" s="1"/>
  <c r="P42" i="120"/>
  <c r="Q42" i="120" s="1"/>
  <c r="P42" i="121"/>
  <c r="Q42" i="121" s="1"/>
  <c r="P27" i="122"/>
  <c r="Q27" i="122" s="1"/>
  <c r="P41" i="121"/>
  <c r="Q41" i="121" s="1"/>
  <c r="P73" i="119"/>
  <c r="Q73" i="119" s="1"/>
  <c r="P46" i="119"/>
  <c r="Q46" i="119" s="1"/>
  <c r="P38" i="119"/>
  <c r="Q38" i="119" s="1"/>
  <c r="P56" i="118"/>
  <c r="Q56" i="118" s="1"/>
  <c r="P31" i="118"/>
  <c r="Q31" i="118" s="1"/>
  <c r="P28" i="118"/>
  <c r="Q28" i="118" s="1"/>
  <c r="P58" i="120"/>
  <c r="Q58" i="120" s="1"/>
  <c r="P25" i="120"/>
  <c r="Q25" i="120" s="1"/>
  <c r="P79" i="119"/>
  <c r="Q79" i="119" s="1"/>
  <c r="P52" i="119"/>
  <c r="Q52" i="119" s="1"/>
  <c r="P30" i="119"/>
  <c r="Q30" i="119" s="1"/>
  <c r="P27" i="119"/>
  <c r="Q27" i="119" s="1"/>
  <c r="P48" i="118"/>
  <c r="Q48" i="118" s="1"/>
  <c r="P35" i="121"/>
  <c r="Q35" i="121" s="1"/>
  <c r="P30" i="121"/>
  <c r="Q30" i="121" s="1"/>
  <c r="P71" i="119"/>
  <c r="Q71" i="119" s="1"/>
  <c r="P44" i="119"/>
  <c r="Q44" i="119" s="1"/>
  <c r="P36" i="119"/>
  <c r="Q36" i="119" s="1"/>
  <c r="P33" i="119"/>
  <c r="Q33" i="119" s="1"/>
  <c r="P54" i="118"/>
  <c r="Q54" i="118" s="1"/>
  <c r="P37" i="118"/>
  <c r="Q37" i="118" s="1"/>
  <c r="P26" i="118"/>
  <c r="Q26" i="118" s="1"/>
  <c r="P33" i="121"/>
  <c r="Q33" i="121" s="1"/>
  <c r="P68" i="120"/>
  <c r="Q68" i="120" s="1"/>
  <c r="P62" i="120"/>
  <c r="Q62" i="120" s="1"/>
  <c r="P27" i="120"/>
  <c r="Q27" i="120" s="1"/>
  <c r="P24" i="120"/>
  <c r="Q24" i="120" s="1"/>
  <c r="P67" i="119"/>
  <c r="Q67" i="119" s="1"/>
  <c r="P48" i="119"/>
  <c r="Q48" i="119" s="1"/>
  <c r="P40" i="119"/>
  <c r="Q40" i="119" s="1"/>
  <c r="P29" i="119"/>
  <c r="Q29" i="119" s="1"/>
  <c r="P72" i="118"/>
  <c r="Q72" i="118" s="1"/>
  <c r="P44" i="118"/>
  <c r="Q44" i="118" s="1"/>
  <c r="P33" i="118"/>
  <c r="Q33" i="118" s="1"/>
  <c r="P82" i="120"/>
  <c r="Q82" i="120" s="1"/>
  <c r="P64" i="119"/>
  <c r="Q64" i="119" s="1"/>
  <c r="P91" i="120"/>
  <c r="Q91" i="120" s="1"/>
  <c r="P80" i="120"/>
  <c r="Q80" i="120" s="1"/>
  <c r="P26" i="120"/>
  <c r="Q26" i="120" s="1"/>
  <c r="P39" i="119"/>
  <c r="Q39" i="119" s="1"/>
  <c r="P38" i="118"/>
  <c r="Q38" i="118" s="1"/>
  <c r="P23" i="118"/>
  <c r="Q23" i="118" s="1"/>
  <c r="P50" i="118"/>
  <c r="Q50" i="118" s="1"/>
  <c r="P59" i="120"/>
  <c r="Q59" i="120" s="1"/>
  <c r="P69" i="119"/>
  <c r="Q69" i="119" s="1"/>
  <c r="P37" i="119"/>
  <c r="Q37" i="119" s="1"/>
  <c r="P32" i="119"/>
  <c r="Q32" i="119" s="1"/>
  <c r="P25" i="119"/>
  <c r="Q25" i="119" s="1"/>
  <c r="P35" i="122"/>
  <c r="Q35" i="122" s="1"/>
  <c r="P29" i="120"/>
  <c r="Q29" i="120" s="1"/>
  <c r="P74" i="119"/>
  <c r="Q74" i="119" s="1"/>
  <c r="P58" i="119"/>
  <c r="Q58" i="119" s="1"/>
  <c r="P35" i="119"/>
  <c r="Q35" i="119" s="1"/>
  <c r="P41" i="118"/>
  <c r="Q41" i="118" s="1"/>
  <c r="P29" i="118"/>
  <c r="Q29" i="118" s="1"/>
  <c r="P66" i="120"/>
  <c r="Q66" i="120" s="1"/>
  <c r="P38" i="120"/>
  <c r="Q38" i="120" s="1"/>
  <c r="P72" i="119"/>
  <c r="Q72" i="119" s="1"/>
  <c r="P28" i="119"/>
  <c r="Q28" i="119" s="1"/>
  <c r="P60" i="118"/>
  <c r="Q60" i="118" s="1"/>
  <c r="P32" i="118"/>
  <c r="Q32" i="118" s="1"/>
  <c r="P27" i="118"/>
  <c r="Q27" i="118" s="1"/>
  <c r="P47" i="120"/>
  <c r="Q47" i="120" s="1"/>
  <c r="P45" i="119"/>
  <c r="Q45" i="119" s="1"/>
  <c r="P75" i="118"/>
  <c r="Q75" i="118" s="1"/>
  <c r="P52" i="118"/>
  <c r="Q52" i="118" s="1"/>
  <c r="P43" i="121"/>
  <c r="Q43" i="121" s="1"/>
  <c r="P84" i="120"/>
  <c r="Q84" i="120" s="1"/>
  <c r="P31" i="119"/>
  <c r="Q31" i="119" s="1"/>
  <c r="P66" i="118"/>
  <c r="Q66" i="118" s="1"/>
  <c r="P49" i="118"/>
  <c r="Q49" i="118" s="1"/>
  <c r="P35" i="118"/>
  <c r="Q35" i="118" s="1"/>
  <c r="P71" i="118"/>
  <c r="Q71" i="118" s="1"/>
  <c r="P63" i="118"/>
  <c r="Q63" i="118" s="1"/>
  <c r="P70" i="119"/>
  <c r="Q70" i="119" s="1"/>
  <c r="P47" i="119"/>
  <c r="Q47" i="119" s="1"/>
  <c r="P30" i="118"/>
  <c r="Q30" i="118" s="1"/>
  <c r="P54" i="119"/>
  <c r="Q54" i="119" s="1"/>
  <c r="P77" i="119"/>
  <c r="Q77" i="119" s="1"/>
  <c r="P46" i="132" l="1"/>
  <c r="Q46" i="132" s="1"/>
  <c r="Q48" i="132" s="1"/>
  <c r="O14" i="132" s="1"/>
  <c r="P36" i="129"/>
  <c r="O36" i="129" s="1"/>
  <c r="O38" i="129" s="1"/>
  <c r="P100" i="120"/>
  <c r="Q100" i="120" s="1"/>
  <c r="Q102" i="120" s="1"/>
  <c r="O14" i="120" s="1"/>
  <c r="O15" i="120" s="1"/>
  <c r="H15" i="46" s="1"/>
  <c r="P40" i="127"/>
  <c r="O40" i="127" s="1"/>
  <c r="O42" i="127" s="1"/>
  <c r="P41" i="125"/>
  <c r="O41" i="125" s="1"/>
  <c r="O43" i="125" s="1"/>
  <c r="P35" i="126"/>
  <c r="O35" i="126" s="1"/>
  <c r="O37" i="126" s="1"/>
  <c r="P83" i="118"/>
  <c r="Q83" i="118" s="1"/>
  <c r="Q85" i="118" s="1"/>
  <c r="O14" i="118" s="1"/>
  <c r="G11" i="46" s="1"/>
  <c r="P52" i="121"/>
  <c r="Q52" i="121" s="1"/>
  <c r="Q54" i="121" s="1"/>
  <c r="O14" i="121" s="1"/>
  <c r="G17" i="46" s="1"/>
  <c r="P55" i="124"/>
  <c r="O55" i="124" s="1"/>
  <c r="O57" i="124" s="1"/>
  <c r="O9" i="124" s="1"/>
  <c r="P40" i="130"/>
  <c r="O40" i="130" s="1"/>
  <c r="O42" i="130" s="1"/>
  <c r="P34" i="128"/>
  <c r="O34" i="128" s="1"/>
  <c r="O36" i="128" s="1"/>
  <c r="P45" i="122"/>
  <c r="Q45" i="122" s="1"/>
  <c r="Q47" i="122" s="1"/>
  <c r="O14" i="122" s="1"/>
  <c r="G19" i="46" s="1"/>
  <c r="P35" i="131"/>
  <c r="O35" i="131" s="1"/>
  <c r="O37" i="131" s="1"/>
  <c r="P100" i="119"/>
  <c r="Q100" i="119" s="1"/>
  <c r="Q102" i="119" s="1"/>
  <c r="O14" i="119" s="1"/>
  <c r="G13" i="46" s="1"/>
  <c r="P51" i="123"/>
  <c r="Q51" i="123" s="1"/>
  <c r="Q53" i="123" s="1"/>
  <c r="O14" i="123" s="1"/>
  <c r="O12" i="123" s="1"/>
  <c r="P61" i="118"/>
  <c r="Q61" i="118" s="1"/>
  <c r="P64" i="118"/>
  <c r="Q64" i="118" s="1"/>
  <c r="P46" i="118"/>
  <c r="Q46" i="118" s="1"/>
  <c r="P24" i="118"/>
  <c r="Q24" i="118" s="1"/>
  <c r="P81" i="119"/>
  <c r="Q81" i="119" s="1"/>
  <c r="P53" i="119"/>
  <c r="Q53" i="119" s="1"/>
  <c r="P57" i="118"/>
  <c r="Q57" i="118" s="1"/>
  <c r="P34" i="119"/>
  <c r="Q34" i="119" s="1"/>
  <c r="P47" i="118"/>
  <c r="Q47" i="118" s="1"/>
  <c r="P51" i="119"/>
  <c r="Q51" i="119" s="1"/>
  <c r="P40" i="120"/>
  <c r="Q40" i="120" s="1"/>
  <c r="P40" i="118"/>
  <c r="Q40" i="118" s="1"/>
  <c r="P55" i="119"/>
  <c r="Q55" i="119" s="1"/>
  <c r="P34" i="118"/>
  <c r="Q34" i="118" s="1"/>
  <c r="P41" i="119"/>
  <c r="Q41" i="119" s="1"/>
  <c r="P37" i="120"/>
  <c r="Q37" i="120" s="1"/>
  <c r="P39" i="118"/>
  <c r="Q39" i="118" s="1"/>
  <c r="P57" i="119"/>
  <c r="Q57" i="119" s="1"/>
  <c r="P31" i="121"/>
  <c r="Q31" i="121" s="1"/>
  <c r="P53" i="120"/>
  <c r="Q53" i="120" s="1"/>
  <c r="P39" i="121"/>
  <c r="Q39" i="121" s="1"/>
  <c r="P25" i="121"/>
  <c r="Q25" i="121" s="1"/>
  <c r="P71" i="120"/>
  <c r="Q71" i="120" s="1"/>
  <c r="P46" i="120"/>
  <c r="Q46" i="120" s="1"/>
  <c r="P90" i="120"/>
  <c r="Q90" i="120" s="1"/>
  <c r="P23" i="122"/>
  <c r="Q23" i="122" s="1"/>
  <c r="P30" i="122"/>
  <c r="Q30" i="122" s="1"/>
  <c r="P43" i="123"/>
  <c r="Q43" i="123" s="1"/>
  <c r="P42" i="123"/>
  <c r="Q42" i="123" s="1"/>
  <c r="P24" i="131"/>
  <c r="O24" i="131" s="1"/>
  <c r="Q24" i="131" s="1"/>
  <c r="G14" i="131" s="1"/>
  <c r="G36" i="46" s="1"/>
  <c r="P69" i="118"/>
  <c r="Q69" i="118" s="1"/>
  <c r="P50" i="119"/>
  <c r="Q50" i="119" s="1"/>
  <c r="P58" i="118"/>
  <c r="Q58" i="118" s="1"/>
  <c r="P59" i="119"/>
  <c r="Q59" i="119" s="1"/>
  <c r="P56" i="120"/>
  <c r="Q56" i="120" s="1"/>
  <c r="P51" i="118"/>
  <c r="Q51" i="118" s="1"/>
  <c r="P63" i="119"/>
  <c r="Q63" i="119" s="1"/>
  <c r="P45" i="118"/>
  <c r="Q45" i="118" s="1"/>
  <c r="P49" i="119"/>
  <c r="Q49" i="119" s="1"/>
  <c r="P51" i="120"/>
  <c r="Q51" i="120" s="1"/>
  <c r="P42" i="118"/>
  <c r="Q42" i="118" s="1"/>
  <c r="P65" i="119"/>
  <c r="Q65" i="119" s="1"/>
  <c r="P34" i="121"/>
  <c r="Q34" i="121" s="1"/>
  <c r="P64" i="120"/>
  <c r="Q64" i="120" s="1"/>
  <c r="P28" i="120"/>
  <c r="Q28" i="120" s="1"/>
  <c r="P36" i="121"/>
  <c r="Q36" i="121" s="1"/>
  <c r="P74" i="120"/>
  <c r="Q74" i="120" s="1"/>
  <c r="P54" i="120"/>
  <c r="Q54" i="120" s="1"/>
  <c r="P23" i="121"/>
  <c r="Q23" i="121" s="1"/>
  <c r="P26" i="122"/>
  <c r="Q26" i="122" s="1"/>
  <c r="P30" i="123"/>
  <c r="Q30" i="123" s="1"/>
  <c r="P29" i="123"/>
  <c r="Q29" i="123" s="1"/>
  <c r="P28" i="123"/>
  <c r="Q28" i="123" s="1"/>
  <c r="P92" i="119"/>
  <c r="Q92" i="119" s="1"/>
  <c r="K12" i="46" s="1"/>
  <c r="P24" i="127"/>
  <c r="O24" i="127" s="1"/>
  <c r="O34" i="127" s="1"/>
  <c r="P25" i="118"/>
  <c r="Q25" i="118" s="1"/>
  <c r="P43" i="119"/>
  <c r="Q43" i="119" s="1"/>
  <c r="P61" i="119"/>
  <c r="Q61" i="119" s="1"/>
  <c r="P42" i="119"/>
  <c r="Q42" i="119" s="1"/>
  <c r="P53" i="118"/>
  <c r="Q53" i="118" s="1"/>
  <c r="P43" i="118"/>
  <c r="Q43" i="118" s="1"/>
  <c r="P60" i="120"/>
  <c r="Q60" i="120" s="1"/>
  <c r="P62" i="119"/>
  <c r="Q62" i="119" s="1"/>
  <c r="P80" i="119"/>
  <c r="Q80" i="119" s="1"/>
  <c r="P23" i="119"/>
  <c r="Q23" i="119" s="1"/>
  <c r="P75" i="119"/>
  <c r="Q75" i="119" s="1"/>
  <c r="P88" i="120"/>
  <c r="Q88" i="120" s="1"/>
  <c r="P65" i="118"/>
  <c r="Q65" i="118" s="1"/>
  <c r="P82" i="119"/>
  <c r="Q82" i="119" s="1"/>
  <c r="P59" i="118"/>
  <c r="Q59" i="118" s="1"/>
  <c r="P60" i="119"/>
  <c r="Q60" i="119" s="1"/>
  <c r="P32" i="121"/>
  <c r="Q32" i="121" s="1"/>
  <c r="P67" i="118"/>
  <c r="Q67" i="118" s="1"/>
  <c r="P55" i="120"/>
  <c r="Q55" i="120" s="1"/>
  <c r="P37" i="122"/>
  <c r="Q37" i="122" s="1"/>
  <c r="P75" i="120"/>
  <c r="Q75" i="120" s="1"/>
  <c r="P39" i="120"/>
  <c r="Q39" i="120" s="1"/>
  <c r="P30" i="120"/>
  <c r="Q30" i="120" s="1"/>
  <c r="P85" i="120"/>
  <c r="Q85" i="120" s="1"/>
  <c r="P65" i="120"/>
  <c r="Q65" i="120" s="1"/>
  <c r="P40" i="121"/>
  <c r="Q40" i="121" s="1"/>
  <c r="P31" i="122"/>
  <c r="Q31" i="122" s="1"/>
  <c r="P27" i="123"/>
  <c r="Q27" i="123" s="1"/>
  <c r="P23" i="123"/>
  <c r="Q23" i="123" s="1"/>
  <c r="D11" i="115"/>
  <c r="E11" i="115" s="1"/>
  <c r="F11" i="115" s="1"/>
  <c r="P33" i="132"/>
  <c r="Q33" i="132" s="1"/>
  <c r="P31" i="132"/>
  <c r="Q31" i="132" s="1"/>
  <c r="P23" i="132"/>
  <c r="Q23" i="132" s="1"/>
  <c r="P36" i="132"/>
  <c r="Q36" i="132" s="1"/>
  <c r="P28" i="132"/>
  <c r="Q28" i="132" s="1"/>
  <c r="P26" i="132"/>
  <c r="Q26" i="132" s="1"/>
  <c r="P34" i="132"/>
  <c r="Q34" i="132" s="1"/>
  <c r="P37" i="132"/>
  <c r="Q37" i="132" s="1"/>
  <c r="P29" i="132"/>
  <c r="Q29" i="132" s="1"/>
  <c r="P24" i="132"/>
  <c r="Q24" i="132" s="1"/>
  <c r="P35" i="132"/>
  <c r="Q35" i="132" s="1"/>
  <c r="P27" i="132"/>
  <c r="Q27" i="132" s="1"/>
  <c r="P30" i="132"/>
  <c r="Q30" i="132" s="1"/>
  <c r="P25" i="132"/>
  <c r="Q25" i="132" s="1"/>
  <c r="P32" i="132"/>
  <c r="Q32" i="132" s="1"/>
  <c r="P38" i="132"/>
  <c r="Q38" i="132" s="1"/>
  <c r="P32" i="120"/>
  <c r="Q32" i="120" s="1"/>
  <c r="P66" i="119"/>
  <c r="Q66" i="119" s="1"/>
  <c r="P43" i="120"/>
  <c r="Q43" i="120" s="1"/>
  <c r="P56" i="119"/>
  <c r="Q56" i="119" s="1"/>
  <c r="P74" i="118"/>
  <c r="Q74" i="118" s="1"/>
  <c r="P55" i="118"/>
  <c r="Q55" i="118" s="1"/>
  <c r="P36" i="118"/>
  <c r="Q36" i="118" s="1"/>
  <c r="P83" i="119"/>
  <c r="Q83" i="119" s="1"/>
  <c r="P48" i="120"/>
  <c r="Q48" i="120" s="1"/>
  <c r="P26" i="119"/>
  <c r="Q26" i="119" s="1"/>
  <c r="P78" i="119"/>
  <c r="Q78" i="119" s="1"/>
  <c r="P26" i="121"/>
  <c r="Q26" i="121" s="1"/>
  <c r="P68" i="118"/>
  <c r="Q68" i="118" s="1"/>
  <c r="P49" i="120"/>
  <c r="Q49" i="120" s="1"/>
  <c r="P62" i="118"/>
  <c r="Q62" i="118" s="1"/>
  <c r="P68" i="119"/>
  <c r="Q68" i="119" s="1"/>
  <c r="P37" i="121"/>
  <c r="Q37" i="121" s="1"/>
  <c r="P70" i="118"/>
  <c r="Q70" i="118" s="1"/>
  <c r="P67" i="120"/>
  <c r="Q67" i="120" s="1"/>
  <c r="P41" i="123"/>
  <c r="Q41" i="123" s="1"/>
  <c r="P78" i="120"/>
  <c r="Q78" i="120" s="1"/>
  <c r="P50" i="120"/>
  <c r="Q50" i="120" s="1"/>
  <c r="P33" i="120"/>
  <c r="Q33" i="120" s="1"/>
  <c r="P24" i="121"/>
  <c r="Q24" i="121" s="1"/>
  <c r="P73" i="120"/>
  <c r="Q73" i="120" s="1"/>
  <c r="P29" i="122"/>
  <c r="Q29" i="122" s="1"/>
  <c r="P28" i="122"/>
  <c r="Q28" i="122" s="1"/>
  <c r="P35" i="123"/>
  <c r="Q35" i="123" s="1"/>
  <c r="P26" i="123"/>
  <c r="Q26" i="123" s="1"/>
  <c r="P24" i="129"/>
  <c r="O24" i="129" s="1"/>
  <c r="Q24" i="129" s="1"/>
  <c r="G14" i="129" s="1"/>
  <c r="P70" i="120"/>
  <c r="Q70" i="120" s="1"/>
  <c r="P73" i="118"/>
  <c r="Q73" i="118" s="1"/>
  <c r="P76" i="119"/>
  <c r="Q76" i="119" s="1"/>
  <c r="P25" i="123"/>
  <c r="Q25" i="123" s="1"/>
  <c r="P24" i="119"/>
  <c r="Q24" i="119" s="1"/>
  <c r="P92" i="120"/>
  <c r="Q92" i="120" s="1"/>
  <c r="P34" i="120"/>
  <c r="Q34" i="120" s="1"/>
  <c r="P86" i="120"/>
  <c r="Q86" i="120" s="1"/>
  <c r="P61" i="120"/>
  <c r="Q61" i="120" s="1"/>
  <c r="P41" i="120"/>
  <c r="Q41" i="120" s="1"/>
  <c r="P27" i="121"/>
  <c r="Q27" i="121" s="1"/>
  <c r="P76" i="120"/>
  <c r="Q76" i="120" s="1"/>
  <c r="P24" i="122"/>
  <c r="Q24" i="122" s="1"/>
  <c r="P36" i="122"/>
  <c r="Q36" i="122" s="1"/>
  <c r="P24" i="123"/>
  <c r="Q24" i="123" s="1"/>
  <c r="P34" i="123"/>
  <c r="Q34" i="123" s="1"/>
  <c r="P24" i="125"/>
  <c r="O24" i="125" s="1"/>
  <c r="Q24" i="125" s="1"/>
  <c r="G14" i="125" s="1"/>
  <c r="Q24" i="130"/>
  <c r="Q34" i="130" s="1"/>
  <c r="O34" i="130"/>
  <c r="M34" i="130" s="1"/>
  <c r="G9" i="130"/>
  <c r="Q24" i="128"/>
  <c r="Q28" i="128" s="1"/>
  <c r="O28" i="128"/>
  <c r="G9" i="128"/>
  <c r="Q24" i="126"/>
  <c r="G14" i="126" s="1"/>
  <c r="O29" i="126"/>
  <c r="G9" i="126"/>
  <c r="Q24" i="124"/>
  <c r="G14" i="124" s="1"/>
  <c r="O49" i="124"/>
  <c r="G9" i="124"/>
  <c r="D12" i="115"/>
  <c r="E12" i="115" s="1"/>
  <c r="F12" i="115" s="1"/>
  <c r="O12" i="120" l="1"/>
  <c r="G15" i="46"/>
  <c r="G9" i="129"/>
  <c r="G12" i="129" s="1"/>
  <c r="G9" i="131"/>
  <c r="G72" i="46" s="1"/>
  <c r="G9" i="127"/>
  <c r="G64" i="46" s="1"/>
  <c r="O35" i="125"/>
  <c r="E10" i="115"/>
  <c r="F10" i="115" s="1"/>
  <c r="D13" i="115"/>
  <c r="E13" i="115" s="1"/>
  <c r="F13" i="115" s="1"/>
  <c r="O12" i="122"/>
  <c r="O15" i="122"/>
  <c r="H19" i="46" s="1"/>
  <c r="O30" i="129"/>
  <c r="M30" i="129" s="1"/>
  <c r="Q24" i="127"/>
  <c r="Q34" i="127" s="1"/>
  <c r="G9" i="125"/>
  <c r="G60" i="46" s="1"/>
  <c r="O15" i="121"/>
  <c r="H17" i="46" s="1"/>
  <c r="O12" i="121"/>
  <c r="O29" i="131"/>
  <c r="M29" i="131" s="1"/>
  <c r="Q46" i="121"/>
  <c r="O15" i="123"/>
  <c r="H21" i="46" s="1"/>
  <c r="Q39" i="122"/>
  <c r="G14" i="121"/>
  <c r="G12" i="121" s="1"/>
  <c r="Q77" i="118"/>
  <c r="G14" i="123"/>
  <c r="G12" i="123" s="1"/>
  <c r="Q94" i="120"/>
  <c r="Q94" i="119"/>
  <c r="Q45" i="123"/>
  <c r="G14" i="122"/>
  <c r="G12" i="122" s="1"/>
  <c r="G21" i="46"/>
  <c r="G14" i="119"/>
  <c r="G12" i="119" s="1"/>
  <c r="O12" i="118"/>
  <c r="G14" i="118"/>
  <c r="G12" i="118" s="1"/>
  <c r="O15" i="118"/>
  <c r="H11" i="46" s="1"/>
  <c r="O12" i="119"/>
  <c r="G14" i="120"/>
  <c r="G12" i="120" s="1"/>
  <c r="O15" i="119"/>
  <c r="H13" i="46" s="1"/>
  <c r="Q40" i="132"/>
  <c r="G14" i="132"/>
  <c r="G39" i="46"/>
  <c r="O15" i="132"/>
  <c r="O12" i="132"/>
  <c r="Q35" i="125"/>
  <c r="Q29" i="126"/>
  <c r="Q30" i="129"/>
  <c r="Q41" i="125"/>
  <c r="Q43" i="125" s="1"/>
  <c r="O14" i="125" s="1"/>
  <c r="Q55" i="124"/>
  <c r="Q57" i="124" s="1"/>
  <c r="O14" i="124" s="1"/>
  <c r="G14" i="130"/>
  <c r="G15" i="130" s="1"/>
  <c r="H34" i="46" s="1"/>
  <c r="Q49" i="124"/>
  <c r="Q36" i="129"/>
  <c r="Q38" i="129" s="1"/>
  <c r="O14" i="129" s="1"/>
  <c r="Q35" i="126"/>
  <c r="Q37" i="126" s="1"/>
  <c r="O14" i="126" s="1"/>
  <c r="O9" i="127"/>
  <c r="O9" i="131"/>
  <c r="G73" i="46" s="1"/>
  <c r="M37" i="131"/>
  <c r="O9" i="129"/>
  <c r="M38" i="129"/>
  <c r="Q40" i="127"/>
  <c r="Q42" i="127" s="1"/>
  <c r="O14" i="127" s="1"/>
  <c r="Q35" i="131"/>
  <c r="Q37" i="131" s="1"/>
  <c r="O14" i="131" s="1"/>
  <c r="G37" i="46" s="1"/>
  <c r="O9" i="125"/>
  <c r="O9" i="126"/>
  <c r="O9" i="128"/>
  <c r="O9" i="130"/>
  <c r="M42" i="130"/>
  <c r="Q34" i="128"/>
  <c r="Q36" i="128" s="1"/>
  <c r="O14" i="128" s="1"/>
  <c r="Q40" i="130"/>
  <c r="Q42" i="130" s="1"/>
  <c r="O14" i="130" s="1"/>
  <c r="G58" i="46"/>
  <c r="G10" i="124"/>
  <c r="F58" i="46" s="1"/>
  <c r="G14" i="128"/>
  <c r="G12" i="128" s="1"/>
  <c r="G70" i="46"/>
  <c r="G10" i="130"/>
  <c r="F70" i="46" s="1"/>
  <c r="G62" i="46"/>
  <c r="G10" i="126"/>
  <c r="F62" i="46" s="1"/>
  <c r="G12" i="124"/>
  <c r="G12" i="126"/>
  <c r="Q29" i="131"/>
  <c r="G66" i="46"/>
  <c r="G10" i="128"/>
  <c r="F66" i="46" s="1"/>
  <c r="G59" i="46"/>
  <c r="O11" i="124"/>
  <c r="I59" i="46" s="1"/>
  <c r="O16" i="120"/>
  <c r="I15" i="46" s="1"/>
  <c r="G32" i="46"/>
  <c r="G15" i="129"/>
  <c r="H32" i="46" s="1"/>
  <c r="F14" i="129"/>
  <c r="G15" i="131"/>
  <c r="H36" i="46" s="1"/>
  <c r="F14" i="131"/>
  <c r="G26" i="46"/>
  <c r="G15" i="126"/>
  <c r="F14" i="126"/>
  <c r="G22" i="46"/>
  <c r="G15" i="124"/>
  <c r="H22" i="46" s="1"/>
  <c r="F14" i="124"/>
  <c r="G24" i="46"/>
  <c r="G15" i="125"/>
  <c r="H24" i="46" s="1"/>
  <c r="F14" i="125"/>
  <c r="O16" i="122" l="1"/>
  <c r="I19" i="46" s="1"/>
  <c r="O16" i="123"/>
  <c r="I21" i="46" s="1"/>
  <c r="O16" i="121"/>
  <c r="I17" i="46" s="1"/>
  <c r="O16" i="119"/>
  <c r="I13" i="46" s="1"/>
  <c r="O16" i="118"/>
  <c r="I11" i="46" s="1"/>
  <c r="G10" i="127"/>
  <c r="F64" i="46" s="1"/>
  <c r="G10" i="129"/>
  <c r="F68" i="46" s="1"/>
  <c r="G68" i="46"/>
  <c r="G10" i="131"/>
  <c r="F72" i="46" s="1"/>
  <c r="G12" i="131"/>
  <c r="G20" i="46"/>
  <c r="G14" i="127"/>
  <c r="G15" i="127" s="1"/>
  <c r="H28" i="46" s="1"/>
  <c r="G12" i="125"/>
  <c r="G10" i="125"/>
  <c r="F60" i="46" s="1"/>
  <c r="G15" i="122"/>
  <c r="H18" i="46" s="1"/>
  <c r="G18" i="46"/>
  <c r="F14" i="122"/>
  <c r="F14" i="119"/>
  <c r="G15" i="119"/>
  <c r="H12" i="46" s="1"/>
  <c r="F14" i="123"/>
  <c r="G15" i="123"/>
  <c r="H20" i="46" s="1"/>
  <c r="F14" i="121"/>
  <c r="G15" i="121"/>
  <c r="H16" i="46" s="1"/>
  <c r="G12" i="46"/>
  <c r="G15" i="118"/>
  <c r="H10" i="46" s="1"/>
  <c r="G16" i="46"/>
  <c r="D20" i="115"/>
  <c r="E20" i="115" s="1"/>
  <c r="F20" i="115" s="1"/>
  <c r="E18" i="115"/>
  <c r="F18" i="115" s="1"/>
  <c r="D19" i="115"/>
  <c r="E19" i="115" s="1"/>
  <c r="F19" i="115" s="1"/>
  <c r="D21" i="115"/>
  <c r="E21" i="115" s="1"/>
  <c r="F21" i="115" s="1"/>
  <c r="D16" i="115"/>
  <c r="E16" i="115" s="1"/>
  <c r="F16" i="115" s="1"/>
  <c r="E14" i="115"/>
  <c r="F14" i="115" s="1"/>
  <c r="D17" i="115"/>
  <c r="E17" i="115" s="1"/>
  <c r="F17" i="115" s="1"/>
  <c r="D15" i="115"/>
  <c r="E15" i="115" s="1"/>
  <c r="F15" i="115" s="1"/>
  <c r="F14" i="118"/>
  <c r="O16" i="132"/>
  <c r="I39" i="46" s="1"/>
  <c r="H39" i="46"/>
  <c r="F14" i="120"/>
  <c r="G12" i="132"/>
  <c r="G38" i="46"/>
  <c r="G15" i="132"/>
  <c r="F14" i="132"/>
  <c r="G10" i="46"/>
  <c r="G15" i="120"/>
  <c r="H14" i="46" s="1"/>
  <c r="G14" i="46"/>
  <c r="G34" i="46"/>
  <c r="F14" i="128"/>
  <c r="G15" i="128"/>
  <c r="H30" i="46" s="1"/>
  <c r="G30" i="46"/>
  <c r="G12" i="130"/>
  <c r="F14" i="130"/>
  <c r="G23" i="46"/>
  <c r="O15" i="124"/>
  <c r="G25" i="46"/>
  <c r="O15" i="125"/>
  <c r="O12" i="124"/>
  <c r="G67" i="46"/>
  <c r="O11" i="128"/>
  <c r="I67" i="46" s="1"/>
  <c r="G69" i="46"/>
  <c r="O11" i="129"/>
  <c r="I69" i="46" s="1"/>
  <c r="G63" i="46"/>
  <c r="O11" i="126"/>
  <c r="I63" i="46" s="1"/>
  <c r="O11" i="131"/>
  <c r="I73" i="46" s="1"/>
  <c r="G35" i="46"/>
  <c r="O15" i="130"/>
  <c r="O12" i="130"/>
  <c r="G31" i="46"/>
  <c r="O15" i="128"/>
  <c r="O12" i="128"/>
  <c r="G61" i="46"/>
  <c r="O11" i="125"/>
  <c r="I61" i="46" s="1"/>
  <c r="O12" i="125"/>
  <c r="G65" i="46"/>
  <c r="O11" i="127"/>
  <c r="I65" i="46" s="1"/>
  <c r="O15" i="131"/>
  <c r="H37" i="46" s="1"/>
  <c r="O12" i="131"/>
  <c r="G27" i="46"/>
  <c r="O12" i="126"/>
  <c r="O15" i="126"/>
  <c r="G71" i="46"/>
  <c r="O11" i="130"/>
  <c r="I71" i="46" s="1"/>
  <c r="G29" i="46"/>
  <c r="O15" i="127"/>
  <c r="O12" i="127"/>
  <c r="G33" i="46"/>
  <c r="O12" i="129"/>
  <c r="O15" i="129"/>
  <c r="G16" i="130"/>
  <c r="I34" i="46" s="1"/>
  <c r="G16" i="129"/>
  <c r="I32" i="46" s="1"/>
  <c r="G16" i="131"/>
  <c r="I36" i="46" s="1"/>
  <c r="H26" i="46"/>
  <c r="G16" i="125"/>
  <c r="I24" i="46" s="1"/>
  <c r="G16" i="126"/>
  <c r="G16" i="124"/>
  <c r="I22" i="46" s="1"/>
  <c r="G12" i="127" l="1"/>
  <c r="F76" i="46"/>
  <c r="G16" i="122"/>
  <c r="I18" i="46" s="1"/>
  <c r="F14" i="127"/>
  <c r="G28" i="46"/>
  <c r="G40" i="46" s="1"/>
  <c r="G16" i="127"/>
  <c r="I28" i="46" s="1"/>
  <c r="G16" i="119"/>
  <c r="I12" i="46" s="1"/>
  <c r="G16" i="123"/>
  <c r="I20" i="46" s="1"/>
  <c r="G16" i="118"/>
  <c r="I10" i="46" s="1"/>
  <c r="G16" i="121"/>
  <c r="I16" i="46" s="1"/>
  <c r="G16" i="120"/>
  <c r="I14" i="46" s="1"/>
  <c r="G16" i="128"/>
  <c r="I30" i="46" s="1"/>
  <c r="G16" i="132"/>
  <c r="I38" i="46" s="1"/>
  <c r="H38" i="46"/>
  <c r="G76" i="46"/>
  <c r="H25" i="46"/>
  <c r="O16" i="125"/>
  <c r="I25" i="46" s="1"/>
  <c r="H23" i="46"/>
  <c r="O16" i="124"/>
  <c r="I23" i="46" s="1"/>
  <c r="H29" i="46"/>
  <c r="O16" i="127"/>
  <c r="I29" i="46" s="1"/>
  <c r="O16" i="131"/>
  <c r="I37" i="46" s="1"/>
  <c r="H31" i="46"/>
  <c r="O16" i="128"/>
  <c r="I31" i="46" s="1"/>
  <c r="H35" i="46"/>
  <c r="O16" i="130"/>
  <c r="I35" i="46" s="1"/>
  <c r="H33" i="46"/>
  <c r="O16" i="129"/>
  <c r="I33" i="46" s="1"/>
  <c r="O16" i="126"/>
  <c r="I27" i="46" s="1"/>
  <c r="H27" i="46"/>
  <c r="I26" i="46"/>
  <c r="H40" i="46" l="1"/>
  <c r="I40" i="4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Sven Petersen</author>
  </authors>
  <commentList>
    <comment ref="N92" authorId="0" shapeId="0" xr:uid="{00000000-0006-0000-0700-000001000000}">
      <text>
        <r>
          <rPr>
            <b/>
            <sz val="10"/>
            <color indexed="81"/>
            <rFont val="Segoe UI"/>
            <family val="2"/>
          </rPr>
          <t>Zeit pro Reinigung bitte hier eintragen</t>
        </r>
      </text>
    </comment>
  </commentList>
</comments>
</file>

<file path=xl/sharedStrings.xml><?xml version="1.0" encoding="utf-8"?>
<sst xmlns="http://schemas.openxmlformats.org/spreadsheetml/2006/main" count="3610" uniqueCount="599">
  <si>
    <t>Pos.</t>
  </si>
  <si>
    <t>LV</t>
  </si>
  <si>
    <t>Leistung</t>
  </si>
  <si>
    <t>Bietername:</t>
  </si>
  <si>
    <t>Objekt</t>
  </si>
  <si>
    <t>Preis netto</t>
  </si>
  <si>
    <t>Preis brutto</t>
  </si>
  <si>
    <t>Unterhaltsreinigung</t>
  </si>
  <si>
    <t>Name des Bieters:</t>
  </si>
  <si>
    <t>Leistungswerte je Reinigungsgruppe</t>
  </si>
  <si>
    <t>Leistung (m²/Std.)</t>
  </si>
  <si>
    <t>Kalkulationsschema für die Leistung je Reinigungsstunde</t>
  </si>
  <si>
    <t>Grundreinigung</t>
  </si>
  <si>
    <t>SVS</t>
  </si>
  <si>
    <t>Std./Tag</t>
  </si>
  <si>
    <t>Zeit/Ausf.</t>
  </si>
  <si>
    <t>KR</t>
  </si>
  <si>
    <t>Std./Jahr</t>
  </si>
  <si>
    <t>m²/Jahr</t>
  </si>
  <si>
    <t>Keine Reinigung</t>
  </si>
  <si>
    <t>Reinigungsgruppe / Reinigungsbereich</t>
  </si>
  <si>
    <t>x</t>
  </si>
  <si>
    <t>Gesamt-Angebotspreis pro Jahr</t>
  </si>
  <si>
    <t>Lager-/Abstellflächen, Archive, Geräteräume, Fahrradabstellräume, Keller</t>
  </si>
  <si>
    <t>Bodenbelag</t>
  </si>
  <si>
    <t>Grundfläche</t>
  </si>
  <si>
    <t>Intervall pro..</t>
  </si>
  <si>
    <t>Woche</t>
  </si>
  <si>
    <t>Monat</t>
  </si>
  <si>
    <t>Jahr</t>
  </si>
  <si>
    <t>Reinigungsstunden</t>
  </si>
  <si>
    <t>Preis pro Jahr</t>
  </si>
  <si>
    <t>[m²]</t>
  </si>
  <si>
    <t>Reinigungsfläche</t>
  </si>
  <si>
    <t>[m² / Jahr ]</t>
  </si>
  <si>
    <t>[m² / Std.]</t>
  </si>
  <si>
    <t>[hh:mm:ss]</t>
  </si>
  <si>
    <t>[Std. / Jahr]</t>
  </si>
  <si>
    <t>[EUR / Std.]</t>
  </si>
  <si>
    <t>[EUR netto]</t>
  </si>
  <si>
    <t>Etage</t>
  </si>
  <si>
    <t>Nr.</t>
  </si>
  <si>
    <t>Gebäude /</t>
  </si>
  <si>
    <t>Raumbezeichnung</t>
  </si>
  <si>
    <t>Grundfläche:</t>
  </si>
  <si>
    <t>Reinigungstage pro Jahr:</t>
  </si>
  <si>
    <t>Reinigungstage pro Woche:</t>
  </si>
  <si>
    <t>Summen / Durchschnitt pro Jahr (Unterhaltsreinigung):</t>
  </si>
  <si>
    <t>Reinigungsfläche pro Jahr:</t>
  </si>
  <si>
    <t>Reinigungsstunden pro Jahr:</t>
  </si>
  <si>
    <t>Leistung pro Stunde (Durchschnitt):</t>
  </si>
  <si>
    <t>Reinigungsstd. pro Tag (Durchschnitt):</t>
  </si>
  <si>
    <t>Preis pro Jahr (netto)</t>
  </si>
  <si>
    <t>Mehrwertsteuer (19%)</t>
  </si>
  <si>
    <t>Preis pro Jahr (brutto)</t>
  </si>
  <si>
    <t>Zusammenfassung Kalkulation Unterhaltsreinigung:</t>
  </si>
  <si>
    <t>Zusammenfassung Kalkulation Grundreinigung:</t>
  </si>
  <si>
    <t>Std.-Verr.-Satz (netto / Durchschnitt):</t>
  </si>
  <si>
    <t>Summen / Durchschnitt pro Jahr (Grundreinigung):</t>
  </si>
  <si>
    <t>Intervall pro</t>
  </si>
  <si>
    <t>Grundreinigung zu kalkulieren (ja/nein):</t>
  </si>
  <si>
    <t>Bauteil</t>
  </si>
  <si>
    <t>Zu den Leistungswerten</t>
  </si>
  <si>
    <t>Zur Angebotsübersicht</t>
  </si>
  <si>
    <t>Gesamt pro Jahr</t>
  </si>
  <si>
    <t>Preis pro Tag / pro Jahr (netto)</t>
  </si>
  <si>
    <t>MwSt. (19%)</t>
  </si>
  <si>
    <t>Sanitärräume (Toiletten, Waschräume, Duschen)</t>
  </si>
  <si>
    <t>Umkleideräume</t>
  </si>
  <si>
    <t>ja</t>
  </si>
  <si>
    <t>Tage/
Jahr</t>
  </si>
  <si>
    <t>Tage/
Woche</t>
  </si>
  <si>
    <t>S2-5</t>
  </si>
  <si>
    <t>S7-1</t>
  </si>
  <si>
    <t>S10-1</t>
  </si>
  <si>
    <t>S10-5</t>
  </si>
  <si>
    <t>S11-5</t>
  </si>
  <si>
    <t>S11-1</t>
  </si>
  <si>
    <t>S19-5</t>
  </si>
  <si>
    <t>S12-5</t>
  </si>
  <si>
    <t>S13-5</t>
  </si>
  <si>
    <t>S15-4J</t>
  </si>
  <si>
    <t>S-GR</t>
  </si>
  <si>
    <t>T-GR</t>
  </si>
  <si>
    <t>S21-5</t>
  </si>
  <si>
    <t>T5-5</t>
  </si>
  <si>
    <t>Verkehrsflächen (Stiefelgang, Turnschuhgang)</t>
  </si>
  <si>
    <t>Lehrküchen, Küchen zur Schülerverpflegung</t>
  </si>
  <si>
    <t>S14-5</t>
  </si>
  <si>
    <t>Verkehrsflächen (Flure, Foyer, Eingangsbereiche)</t>
  </si>
  <si>
    <t>S15-1</t>
  </si>
  <si>
    <t>S1-5</t>
  </si>
  <si>
    <t>Fachklassen, naturwissenschaftliche und technische Unterrichtsräume, Labore</t>
  </si>
  <si>
    <t>Verkehrsflächen (Treppen, Treppenhäuser)</t>
  </si>
  <si>
    <t>Pausenhallen</t>
  </si>
  <si>
    <t>Stundenübersicht</t>
  </si>
  <si>
    <t>Bezeichnung</t>
  </si>
  <si>
    <t>Prozent</t>
  </si>
  <si>
    <t>Euro</t>
  </si>
  <si>
    <t>1.00</t>
  </si>
  <si>
    <t>Basis:</t>
  </si>
  <si>
    <t>2.00</t>
  </si>
  <si>
    <t>Lohngebundene Kosten</t>
  </si>
  <si>
    <t>2.10</t>
  </si>
  <si>
    <t>2.13</t>
  </si>
  <si>
    <t>Arbeitsfreistellung</t>
  </si>
  <si>
    <t>Urlaubsentgelt</t>
  </si>
  <si>
    <t>2.15</t>
  </si>
  <si>
    <t>2.16</t>
  </si>
  <si>
    <t>2.17</t>
  </si>
  <si>
    <t>2.20</t>
  </si>
  <si>
    <t>2.30</t>
  </si>
  <si>
    <t>Gesetzliche Unfallversicherung</t>
  </si>
  <si>
    <t>Schwerbehindertenabgabe</t>
  </si>
  <si>
    <t>Haftpflichtversicherung</t>
  </si>
  <si>
    <t>3.00</t>
  </si>
  <si>
    <t>Fertigungsmaterial</t>
  </si>
  <si>
    <t>Sondereinzelkosten</t>
  </si>
  <si>
    <t>3.10</t>
  </si>
  <si>
    <t>3.20</t>
  </si>
  <si>
    <t>4.00</t>
  </si>
  <si>
    <t>Unternehmensbezogene Kosten</t>
  </si>
  <si>
    <t>Gehälter technische Angestellte</t>
  </si>
  <si>
    <t>4.20</t>
  </si>
  <si>
    <t>4.40</t>
  </si>
  <si>
    <t>4.50</t>
  </si>
  <si>
    <t>4.60</t>
  </si>
  <si>
    <t>4.70</t>
  </si>
  <si>
    <t>Fuhrparkkosten</t>
  </si>
  <si>
    <t>Betriebsratskosten</t>
  </si>
  <si>
    <t>5.00</t>
  </si>
  <si>
    <t>Selbstkosten</t>
  </si>
  <si>
    <t>6.00</t>
  </si>
  <si>
    <t>Stundenverrechnungssatz an Werktagen</t>
  </si>
  <si>
    <t>Kalkulation Stundenverrechnungssatz</t>
  </si>
  <si>
    <t>Windfang, Windschleusen</t>
  </si>
  <si>
    <t>Grundreinigung in Schulgebäuden</t>
  </si>
  <si>
    <t>Turn-, Sport- und Mehrzweckhallen</t>
  </si>
  <si>
    <t>Verkehrsflächen (Foyer, Eingangsbereiche)</t>
  </si>
  <si>
    <t>Regie- und Aufsichtsräume</t>
  </si>
  <si>
    <t>Geräteräume</t>
  </si>
  <si>
    <t>Grundreinigung in Turn- und Sporthallen</t>
  </si>
  <si>
    <t>S1-1</t>
  </si>
  <si>
    <t>Schulgebäude (S)</t>
  </si>
  <si>
    <t>S3-5</t>
  </si>
  <si>
    <t>S6-1</t>
  </si>
  <si>
    <t>S6-5</t>
  </si>
  <si>
    <t>S8-5</t>
  </si>
  <si>
    <t>T1-5</t>
  </si>
  <si>
    <t>T6-5</t>
  </si>
  <si>
    <t>T8-5</t>
  </si>
  <si>
    <t>T9-5</t>
  </si>
  <si>
    <t>T10-5</t>
  </si>
  <si>
    <t>T11-1</t>
  </si>
  <si>
    <t>Gesetzliche Feiertage</t>
  </si>
  <si>
    <t>Hinweise zum Objekt, Besonderheiten, usw.:</t>
  </si>
  <si>
    <t>Grundreinigung aller Räume</t>
  </si>
  <si>
    <t>Fläche</t>
  </si>
  <si>
    <t>11</t>
  </si>
  <si>
    <t>Zusätzliches Urlaubsgeld</t>
  </si>
  <si>
    <t>2.14</t>
  </si>
  <si>
    <t>3.40</t>
  </si>
  <si>
    <t>4.80</t>
  </si>
  <si>
    <t>Beschreibung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</si>
  <si>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</si>
  <si>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</si>
  <si>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</si>
  <si>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</si>
  <si>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</si>
  <si>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</si>
  <si>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</si>
  <si>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</si>
  <si>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</si>
  <si>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</si>
  <si>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Zuschlag %</t>
  </si>
  <si>
    <t>12</t>
  </si>
  <si>
    <t>Verwaltungs- und Büroräume, Lehrerzimmer, Besprechungs- und Konferenzräume, Elternsprechzimmer, Kopierräume, Arztzimmer</t>
  </si>
  <si>
    <t>Garderoben, Umkleideräume</t>
  </si>
  <si>
    <t>Sozialräume (Speisesaal, Kantine, Cafeteria, einschließlich Flure in diesem Bereich, Teeküchen</t>
  </si>
  <si>
    <t>Unterrichtsräume, Klassenräume, Gruppenräume</t>
  </si>
  <si>
    <t>Werkräume, Kunst- und Handarbeitsräume</t>
  </si>
  <si>
    <t>Gehälter kaufmännische Angestellte</t>
  </si>
  <si>
    <t>Bibliotheken und Medienräume</t>
  </si>
  <si>
    <t>Preise und Zuschläge für Zusatzleistungen</t>
  </si>
  <si>
    <t>Unterhaltsreinigung / Zusatzleistung ohne Zuschlag</t>
  </si>
  <si>
    <t>Unterhaltsreinigung / Zusatzleistung (22.00 - 05:00 Uhr)</t>
  </si>
  <si>
    <t>Grundreinigung / Zusatzleistung ohne Zuschlag</t>
  </si>
  <si>
    <t>Grundreinigung / Zusatzleistung (22.00 - 05:00 Uhr)</t>
  </si>
  <si>
    <t>Bauendreinigung / Zusatzleistung ohne Zuschlag</t>
  </si>
  <si>
    <t>Bauendreinigung / Zusatzleistung (22.00 - 05:00 Uhr)</t>
  </si>
  <si>
    <t>Pauschalabgabe an Bundesknappschaft für RV</t>
  </si>
  <si>
    <t>Pauschalabgabe an Bundesknappschaft für KV</t>
  </si>
  <si>
    <t>2.21</t>
  </si>
  <si>
    <t>2.22</t>
  </si>
  <si>
    <t>2.23</t>
  </si>
  <si>
    <t>entfällt</t>
  </si>
  <si>
    <t>7.00</t>
  </si>
  <si>
    <t>Beschäftigungsanteile für diesen Auftrag</t>
  </si>
  <si>
    <t>sozialversicherungs-pflichtiges Personal</t>
  </si>
  <si>
    <t>Leistung
im Ø</t>
  </si>
  <si>
    <t>Reinigungstage in Schulgebäuden</t>
  </si>
  <si>
    <t>Tage</t>
  </si>
  <si>
    <t>Wochenende</t>
  </si>
  <si>
    <t>Feiertage</t>
  </si>
  <si>
    <t>Reinigungstage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</si>
  <si>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</si>
  <si>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</si>
  <si>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</si>
  <si>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</si>
  <si>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</si>
  <si>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</si>
  <si>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</si>
  <si>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</si>
  <si>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</si>
  <si>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</si>
  <si>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</si>
  <si>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</si>
  <si>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Summe</t>
  </si>
  <si>
    <t>grün:</t>
  </si>
  <si>
    <t>rot:</t>
  </si>
  <si>
    <t>gesetzliche Feiertage</t>
  </si>
  <si>
    <t>Datum</t>
  </si>
  <si>
    <t>Name des Bieters (Vor- und Zuname)</t>
  </si>
  <si>
    <t>Name des Bieters (Firma):</t>
  </si>
  <si>
    <t>Ferien</t>
  </si>
  <si>
    <t>Adresse:</t>
  </si>
  <si>
    <t>Reinigungstage:</t>
  </si>
  <si>
    <t>Reinigungszeiten:</t>
  </si>
  <si>
    <t>Waschmaschine aufstellen möglich:</t>
  </si>
  <si>
    <t>Sand-/Schmutzeintrag von außen:</t>
  </si>
  <si>
    <t>Schmutzfangeinrichtungen:</t>
  </si>
  <si>
    <t>Maschineneinsatz möglich/sinnvoll?:</t>
  </si>
  <si>
    <t>Schulferien Niedersachsen</t>
  </si>
  <si>
    <t>Unterhaltsreinigung / Zusatzleistung (Sonntage/Feiertage)</t>
  </si>
  <si>
    <t>Unterhaltsreinigung / Zusatzleistung
(1. Mai, Neujahrstag sowie 1. und 2. Weihnachtsfeiertag)</t>
  </si>
  <si>
    <t>Grundreinigung / Zusatzleistung (Sonntage/Feiertage)</t>
  </si>
  <si>
    <t>Grundreinigung / Zusatzleistung
(1. Mai, Neujahrstag sowie 1. und 2. Weihnachtsfeiertag)</t>
  </si>
  <si>
    <t>Bauendreinigung / Zusatzleistung (Sonntage/Feiertage)</t>
  </si>
  <si>
    <t>Bauendreinigung / Zusatzleistung
(1. Mai, Neujahrstag sowie 1. und 2. Weihnachtsfeiertag)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</si>
  <si>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</si>
  <si>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</si>
  <si>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</si>
  <si>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</si>
  <si>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</si>
  <si>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</si>
  <si>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</si>
  <si>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</si>
  <si>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</si>
  <si>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</si>
  <si>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</si>
  <si>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</si>
  <si>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Samtgemeinde Lachendorf</t>
  </si>
  <si>
    <t>Grundschule Eldingen</t>
  </si>
  <si>
    <t>IKARUS-Grundschule Lachendorf</t>
  </si>
  <si>
    <t>Wiehetal-Grundschule Hohne</t>
  </si>
  <si>
    <t>Turnhalle Eldingen</t>
  </si>
  <si>
    <t>Turnhalle Lachendorf</t>
  </si>
  <si>
    <t>Turnhalle Hohne</t>
  </si>
  <si>
    <t>Feuerwehr Lachendorf</t>
  </si>
  <si>
    <t>Feuerwehr Ahnsbeck</t>
  </si>
  <si>
    <t>Feuerwehr Bargfeld</t>
  </si>
  <si>
    <t>Feuerwehr Beedenbostel</t>
  </si>
  <si>
    <t>Feuerwehr Eldingen</t>
  </si>
  <si>
    <t>Feuerwehr Gockenholz</t>
  </si>
  <si>
    <t>Feuerwehr Hohne</t>
  </si>
  <si>
    <t>Feuerwehr Hohnhorst</t>
  </si>
  <si>
    <t>Reinigungstage in Kitas</t>
  </si>
  <si>
    <t>Windfang</t>
  </si>
  <si>
    <t>Flur</t>
  </si>
  <si>
    <t>Gruppenraum</t>
  </si>
  <si>
    <t>Küche</t>
  </si>
  <si>
    <t>Garderobe</t>
  </si>
  <si>
    <t>Treppe</t>
  </si>
  <si>
    <t>Putzmittelraum</t>
  </si>
  <si>
    <t>Teppich</t>
  </si>
  <si>
    <t>aufgelegter</t>
  </si>
  <si>
    <t>EG</t>
  </si>
  <si>
    <t>Neubau</t>
  </si>
  <si>
    <t>DG</t>
  </si>
  <si>
    <t>Abstellraum</t>
  </si>
  <si>
    <t>Mensa</t>
  </si>
  <si>
    <t>Stuhllager</t>
  </si>
  <si>
    <t>Vorbereitung</t>
  </si>
  <si>
    <t>Spülküche</t>
  </si>
  <si>
    <t>Teeküche</t>
  </si>
  <si>
    <t>Lager</t>
  </si>
  <si>
    <t>WC</t>
  </si>
  <si>
    <t>Geräteraum</t>
  </si>
  <si>
    <t>Heizungsraum</t>
  </si>
  <si>
    <t>OG</t>
  </si>
  <si>
    <t>Betriebsraum</t>
  </si>
  <si>
    <t>1.OG</t>
  </si>
  <si>
    <t>ZG</t>
  </si>
  <si>
    <t>UG</t>
  </si>
  <si>
    <t>26</t>
  </si>
  <si>
    <t>Podest</t>
  </si>
  <si>
    <t>Musikraum</t>
  </si>
  <si>
    <t>Bücherei</t>
  </si>
  <si>
    <t>Hausmeister</t>
  </si>
  <si>
    <t>Klassenraum</t>
  </si>
  <si>
    <t>Kellertreppe</t>
  </si>
  <si>
    <t>Kellerraum</t>
  </si>
  <si>
    <t>WC-D</t>
  </si>
  <si>
    <t>Kopierraum</t>
  </si>
  <si>
    <t>Lehrerzimmer</t>
  </si>
  <si>
    <t>Sekretariat</t>
  </si>
  <si>
    <t>Clubraum</t>
  </si>
  <si>
    <t>Aula</t>
  </si>
  <si>
    <t>Aula-Bühne</t>
  </si>
  <si>
    <t>Betreuungsraum</t>
  </si>
  <si>
    <t>(Materialraum) Küche</t>
  </si>
  <si>
    <t>Computerraum</t>
  </si>
  <si>
    <t>(Werkraum) Klassenraum</t>
  </si>
  <si>
    <t>Nebenraum</t>
  </si>
  <si>
    <t>Flurgarderobe</t>
  </si>
  <si>
    <t>(Betreuungsraum) Mensa</t>
  </si>
  <si>
    <t>Ter</t>
  </si>
  <si>
    <t>Grundschule Eldingen, Schulstraße 11, 29351 Eldingen</t>
  </si>
  <si>
    <t>Grundschule Ikarus Lachendorf, Nikolaus-Lenau-Weg 17, 29331 Lachendorf</t>
  </si>
  <si>
    <t>Grundschule Hohne, Schulweg 1, 29362 Hohne</t>
  </si>
  <si>
    <t>Turnhalle Eldingen, Schulstraße 11, 29351 Eldingen</t>
  </si>
  <si>
    <t>Turnhalle Lachendorf, Nikolaus-Lenau-Weg 17, 29331 Lachendorf</t>
  </si>
  <si>
    <t>Grundschule Hohne (Turnhalle), Schulweg 1, 29362 Hohne</t>
  </si>
  <si>
    <t>Sanitätsraum</t>
  </si>
  <si>
    <t>Lager-PC</t>
  </si>
  <si>
    <t>WC-H</t>
  </si>
  <si>
    <t>Schulleiter</t>
  </si>
  <si>
    <t>Büro (stellv. Schulleiter)</t>
  </si>
  <si>
    <t>Ausstellung</t>
  </si>
  <si>
    <t>Forum</t>
  </si>
  <si>
    <t>Beratungsraum</t>
  </si>
  <si>
    <t>Container-Vorraum</t>
  </si>
  <si>
    <t>Container-Werkraum</t>
  </si>
  <si>
    <t>Umkleideraum</t>
  </si>
  <si>
    <t xml:space="preserve">Lager  </t>
  </si>
  <si>
    <t>Kühlraum</t>
  </si>
  <si>
    <t>Spülraum</t>
  </si>
  <si>
    <t>Schultrakt rechts OG</t>
  </si>
  <si>
    <t>Schultrakt rechts EG</t>
  </si>
  <si>
    <t>Schultrakt Mitte EG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</si>
  <si>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</si>
  <si>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</si>
  <si>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</si>
  <si>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</si>
  <si>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</si>
  <si>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</si>
  <si>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</si>
  <si>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</si>
  <si>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</si>
  <si>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</si>
  <si>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</si>
  <si>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</si>
  <si>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</si>
  <si>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</si>
  <si>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</si>
  <si>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</si>
  <si>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</si>
  <si>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Schultrakt links EG</t>
  </si>
  <si>
    <t>Podest (Flur)</t>
  </si>
  <si>
    <t>Flur/Windfang</t>
  </si>
  <si>
    <t>Flur/Lehrerzimmer</t>
  </si>
  <si>
    <t>Büro (Schulleitung)</t>
  </si>
  <si>
    <t>Büro (Sekretariat)</t>
  </si>
  <si>
    <t>Flur (Verbindung)</t>
  </si>
  <si>
    <t>Betreuungsraum (Flur)</t>
  </si>
  <si>
    <t xml:space="preserve">Flur </t>
  </si>
  <si>
    <t>Raum Lager</t>
  </si>
  <si>
    <t>Gruppenraum Podest</t>
  </si>
  <si>
    <t>Speise- /Betreuungsraum</t>
  </si>
  <si>
    <t>Umkleide</t>
  </si>
  <si>
    <t>Lager/Zubereitung</t>
  </si>
  <si>
    <t>Archiv</t>
  </si>
  <si>
    <t>Betreuungsraum (Handarbeit)</t>
  </si>
  <si>
    <t>Pausenhalle</t>
  </si>
  <si>
    <t>Pausenhalle Rampen</t>
  </si>
  <si>
    <t>Lager (Stuhllager)</t>
  </si>
  <si>
    <t>Werkraum</t>
  </si>
  <si>
    <t>Lager (Maschinenraum)</t>
  </si>
  <si>
    <t xml:space="preserve">Klassenraum (Musik) </t>
  </si>
  <si>
    <t>Verbindungsgang</t>
  </si>
  <si>
    <t>Dusche</t>
  </si>
  <si>
    <t>Halle</t>
  </si>
  <si>
    <t>Regieraum</t>
  </si>
  <si>
    <t>Ballraum</t>
  </si>
  <si>
    <t>Außengeräte</t>
  </si>
  <si>
    <t>Geräteraum 1</t>
  </si>
  <si>
    <t>Geräteraum 2</t>
  </si>
  <si>
    <t>Duschraum</t>
  </si>
  <si>
    <t xml:space="preserve">Feuerwehr Lachendorf, Alter Postweg 112, 29331 Lachendorf </t>
  </si>
  <si>
    <t>Feuerwehr Ahnsbeck, Südfeld 2A, 29353 Ahnsbeck</t>
  </si>
  <si>
    <t>Feuerwehr Bargfeld, Unter den Eichen 8, 29351 Eldingen GT Bargfeld</t>
  </si>
  <si>
    <t>Feuerwehr Beedenbostel, Schulstraße 4, 29355 Beedenbostel</t>
  </si>
  <si>
    <t>Feuerwehr Eldingen, Schulstraße 11, 29351 Eldingen</t>
  </si>
  <si>
    <t>Feuerwehr Gockenholz, Dorfstraße 44/46 , 29331 Lachendorf GT Gockenholz</t>
  </si>
  <si>
    <t>Feuerwehr Hohne, Dorfstraße 47, 29362 Hohne</t>
  </si>
  <si>
    <t>Feuerwehr Hohnhorst, In den Äckern 112 , 29351 Eldingen GT Hohnhorst</t>
  </si>
  <si>
    <t xml:space="preserve">EG </t>
  </si>
  <si>
    <t>Fahrzeug- und Geräteraum</t>
  </si>
  <si>
    <t>F-GR</t>
  </si>
  <si>
    <t>Fahrzeughalle I</t>
  </si>
  <si>
    <t>Fahrzeughalle II</t>
  </si>
  <si>
    <t xml:space="preserve">Abstellraum </t>
  </si>
  <si>
    <t>Atemschutzwerkstatt</t>
  </si>
  <si>
    <t>WC-Herren</t>
  </si>
  <si>
    <t>WC-Damen</t>
  </si>
  <si>
    <t xml:space="preserve">Unterrichtsraum </t>
  </si>
  <si>
    <t xml:space="preserve">Garage </t>
  </si>
  <si>
    <t>WC- Damen</t>
  </si>
  <si>
    <t>Unterrichtsraum</t>
  </si>
  <si>
    <t xml:space="preserve">Fahrzeughalle </t>
  </si>
  <si>
    <t xml:space="preserve">Versammlung/Musikzug </t>
  </si>
  <si>
    <t xml:space="preserve">Schulungsraum </t>
  </si>
  <si>
    <t>Umkleide Herren</t>
  </si>
  <si>
    <t>Umkleide Damen</t>
  </si>
  <si>
    <t>WC Herren</t>
  </si>
  <si>
    <t>WC Damen</t>
  </si>
  <si>
    <t>Garage</t>
  </si>
  <si>
    <t>WC-Vorraum</t>
  </si>
  <si>
    <t>Fahrzeughalle</t>
  </si>
  <si>
    <t xml:space="preserve">Windfang </t>
  </si>
  <si>
    <t xml:space="preserve">WC-Damen </t>
  </si>
  <si>
    <t xml:space="preserve">WC-Herren </t>
  </si>
  <si>
    <t>Büro/Verwaltung</t>
  </si>
  <si>
    <t xml:space="preserve">Teeküche </t>
  </si>
  <si>
    <t xml:space="preserve">Bereitschaftsraum </t>
  </si>
  <si>
    <t xml:space="preserve">Hausanschluss </t>
  </si>
  <si>
    <t>Treppenhaus</t>
  </si>
  <si>
    <t xml:space="preserve">Umkleide Herren </t>
  </si>
  <si>
    <t>Dusche Herren</t>
  </si>
  <si>
    <t>Dusche Damen</t>
  </si>
  <si>
    <t xml:space="preserve">Lehrmittelraum </t>
  </si>
  <si>
    <t xml:space="preserve">Treppenhaus </t>
  </si>
  <si>
    <t>Technik/Lüftung</t>
  </si>
  <si>
    <t>Grundreinigung in Feuerwehrgebäuden</t>
  </si>
  <si>
    <t>Linoleum</t>
  </si>
  <si>
    <t>Textil</t>
  </si>
  <si>
    <t>Fliesen</t>
  </si>
  <si>
    <t>Ziegel</t>
  </si>
  <si>
    <t>Beton</t>
  </si>
  <si>
    <t>Steinzeug</t>
  </si>
  <si>
    <t>Estrich</t>
  </si>
  <si>
    <t>Terrazzo</t>
  </si>
  <si>
    <t>Parkett</t>
  </si>
  <si>
    <t>werktags 1x pro Woche nach Absprache</t>
  </si>
  <si>
    <t>Turnhallen, Sporthallen (T)</t>
  </si>
  <si>
    <t>alle Gebäude der Gebäudeart</t>
  </si>
  <si>
    <t>WC Jungen</t>
  </si>
  <si>
    <t>WC Mädchen</t>
  </si>
  <si>
    <t>S11-4J</t>
  </si>
  <si>
    <t>S13-4</t>
  </si>
  <si>
    <t>S9-2M</t>
  </si>
  <si>
    <t>S8-2,5</t>
  </si>
  <si>
    <t>WC Herren, Behinderte</t>
  </si>
  <si>
    <t>WC Damen Vorraum</t>
  </si>
  <si>
    <t>WC Herren Vorraum</t>
  </si>
  <si>
    <t>WC Damen Behinderte</t>
  </si>
  <si>
    <t>S15-2,5</t>
  </si>
  <si>
    <t>WC Vorflur I</t>
  </si>
  <si>
    <t>WC Vorflur II</t>
  </si>
  <si>
    <t>WC Behinderte</t>
  </si>
  <si>
    <t>T12-1M</t>
  </si>
  <si>
    <t>Dusche Behinderte</t>
  </si>
  <si>
    <t>WC / Dusche</t>
  </si>
  <si>
    <t>Umkleideraum 2 Mädchen</t>
  </si>
  <si>
    <t>Waschraum / Dusche</t>
  </si>
  <si>
    <t>Umkleideraum 1 Jungen</t>
  </si>
  <si>
    <t>Die Leistungswerte (m²/Std.) in den gelb markierten Eingabefeldern werden in die Kalkulationstabellen übertragen und können dort individuell angepasst werden.</t>
  </si>
  <si>
    <t>T12-5</t>
  </si>
  <si>
    <t>alle Schultage + festgelegte Fläche für die Hortbetreuung in den Ferien</t>
  </si>
  <si>
    <t xml:space="preserve">montags bis donnerstags ab 17:00 Uhr, freitags ab 15:00 Uhr (in bestimmten Gebäudeteilen kann auch früher begonnen werden) </t>
  </si>
  <si>
    <t>erheblich (Schulhof mit Mutterboden)</t>
  </si>
  <si>
    <t>ja  (veraltet, aber wegen Fußbodenheizung Umbau schwierig, bzw. nur mit Stolperkante möglich)</t>
  </si>
  <si>
    <t>bedingt möglich, in den Fluren im EG  (sonst Stühle, Tische etc.)</t>
  </si>
  <si>
    <t>alle Schultage, zzgl. Oster- und Herbstferien</t>
  </si>
  <si>
    <t>montags bis freitags vor Unterrichtsbeginn (6:00 - 7:30 Uhr)</t>
  </si>
  <si>
    <t>nein</t>
  </si>
  <si>
    <t>ja (im Eingangsbereich)</t>
  </si>
  <si>
    <t>montags - freitags, ausgenommen Ferien</t>
  </si>
  <si>
    <t>montags bis donnerstags ab 16:00 Uhr, freitags ab 14:00 Uhr,
Verschluss des Gebäudes durch den AN</t>
  </si>
  <si>
    <t>vorhanden</t>
  </si>
  <si>
    <t>erheblich</t>
  </si>
  <si>
    <t>teilweise</t>
  </si>
  <si>
    <t>alle Schultage</t>
  </si>
  <si>
    <t xml:space="preserve">montags bis donnerstags ab 15:00 Uhr, freitags ab 13:00 Uhr (in bestimmten Gebäudeteilen kann auch früher begonnen werden) </t>
  </si>
  <si>
    <t>normal, im Herbst/Winter erheblich</t>
  </si>
  <si>
    <t>montags - freitags, ausgenommen Feiertage. Schließzeiten: grundsätzlich in den Ferien. Ausnahmen nach Genehmigung</t>
  </si>
  <si>
    <t>normal</t>
  </si>
  <si>
    <t>gering</t>
  </si>
  <si>
    <t>Reinigung morgens vor Schulbeginn, Verschluss des Gebäudes durch den AN</t>
  </si>
  <si>
    <t>Zeit pro Reinigung -----&gt;&gt;</t>
  </si>
  <si>
    <t>Entstauben der hoch hängenden Leuchten in der Mensa und im Lehrerzimmer (siehe Fotos)</t>
  </si>
  <si>
    <t>Zeit pro Tag -----&gt;&gt;</t>
  </si>
  <si>
    <t>Reinigung der nachfolgend aufgelisteten Räume, ausgenommen "KR"</t>
  </si>
  <si>
    <t>Zeitvorgabe: 3 Std. x 2x monatlich</t>
  </si>
  <si>
    <t>werktags 2x pro Monat nach Absprache</t>
  </si>
  <si>
    <t>Reinigungstage pro Monat:</t>
  </si>
  <si>
    <t>Zeitvorgabe: 0,75 Std. x 1x monatlich</t>
  </si>
  <si>
    <t>Zeitvorgabe: 1,00 Std. x 1x monatlich</t>
  </si>
  <si>
    <t>Ferien*</t>
  </si>
  <si>
    <t>*zzgl. ein Reinigungstag am Ende der Sommerferien</t>
  </si>
  <si>
    <t>Die Samtgemeindebürgermeisterin</t>
  </si>
  <si>
    <t>nach Absprache vor Ort</t>
  </si>
  <si>
    <t>keine Angaben</t>
  </si>
  <si>
    <t>Zeitvorgabe pro Reinigung -----&gt;&gt;</t>
  </si>
  <si>
    <t>Reinigung erfolgt durch Caterer (Menüpartner)</t>
  </si>
  <si>
    <t>* Rundungsdifferenzen +/- 0,01 € möglich</t>
  </si>
  <si>
    <t>Büro</t>
  </si>
  <si>
    <t>Bauhof Lachendorf, Gockenholzer Weg, 29331 Lachendorf</t>
  </si>
  <si>
    <t>montags - freitags, ausgenommen Feiertage</t>
  </si>
  <si>
    <t>Bauhof Lachendorf</t>
  </si>
  <si>
    <t>Eingang/Flur</t>
  </si>
  <si>
    <t>Büro Leitung</t>
  </si>
  <si>
    <t>Pausenraum</t>
  </si>
  <si>
    <t>Lager 1</t>
  </si>
  <si>
    <t>Lager 2</t>
  </si>
  <si>
    <t>Lager 3</t>
  </si>
  <si>
    <t>Werkstatt</t>
  </si>
  <si>
    <t>Hausanschlussraum</t>
  </si>
  <si>
    <t>Ö7-5</t>
  </si>
  <si>
    <t>Ö1-5</t>
  </si>
  <si>
    <t>Ö12-5</t>
  </si>
  <si>
    <t>Ö11-5</t>
  </si>
  <si>
    <t>Ö-GR</t>
  </si>
  <si>
    <t>Öffentliche Gebäude, Verwaltungsgebäude (Ö)</t>
  </si>
  <si>
    <t>Verwaltungs- und Büroräume, Kopierräume</t>
  </si>
  <si>
    <t>Sanitärräume (Toiletten, Waschräume, Umkleiden)</t>
  </si>
  <si>
    <t>Teeküchen, Sozialräume</t>
  </si>
  <si>
    <t>Ö13-1</t>
  </si>
  <si>
    <t>Lager-/Abstellflächen</t>
  </si>
  <si>
    <t>Grundreinigung in öffentlichen Gebäuden</t>
  </si>
  <si>
    <t>25</t>
  </si>
  <si>
    <t>Kautschuk mit Rundnoppen</t>
  </si>
  <si>
    <t>Heizungsraum / Übergabe Fernwärme</t>
  </si>
  <si>
    <t>Schmutzfangkästen draußen</t>
  </si>
  <si>
    <t>ab 16 Uhr</t>
  </si>
  <si>
    <t>evtl.</t>
  </si>
  <si>
    <t>Preisübersicht (Los 2)</t>
  </si>
  <si>
    <t>Zeitvorgabe: 1,25 Std. x 1x monatlich</t>
  </si>
  <si>
    <t>Tarifvereinbarung Gebäudereinigerhandwerk, Stand 01.01.2026</t>
  </si>
  <si>
    <t>Tariflicher Lohn (mind. 15,00 €/Std.)</t>
  </si>
  <si>
    <t>2.24</t>
  </si>
  <si>
    <t>Reinigungstage in öffentlichen Gebäuden</t>
  </si>
  <si>
    <t>Büro Ganztag</t>
  </si>
  <si>
    <t>Büro Sozialpädagogin</t>
  </si>
  <si>
    <t>Büro Inklusion</t>
  </si>
  <si>
    <t>S9-1</t>
  </si>
  <si>
    <t>Aula, Forum</t>
  </si>
  <si>
    <t>Bühnen</t>
  </si>
  <si>
    <t>Klassenraum Strand + Meer</t>
  </si>
  <si>
    <t>Klassenraum Dino</t>
  </si>
  <si>
    <t>Klassenraum Schulkindergarten</t>
  </si>
  <si>
    <t>Grundreinigung aller Räume (ausgenommen Bereich Caterer)</t>
  </si>
  <si>
    <t>„Midi-Job“ (603,01 € bis maximal 2.000 €)</t>
  </si>
  <si>
    <t>geringfügig beschäftigtes
Personal („603-Euro-Job“)</t>
  </si>
  <si>
    <t>Sozialversicherungsbeiträge (Arbeitgeberanteil)</t>
  </si>
  <si>
    <t>2.11a</t>
  </si>
  <si>
    <r>
      <t>Krankenversicherung einschließlich Zusatzbeit</t>
    </r>
    <r>
      <rPr>
        <sz val="11"/>
        <color rgb="FF000000"/>
        <rFont val="Arial"/>
        <family val="2"/>
      </rPr>
      <t>rag</t>
    </r>
  </si>
  <si>
    <t>2.11b</t>
  </si>
  <si>
    <t>2.12a</t>
  </si>
  <si>
    <t>Rentenversicherung</t>
  </si>
  <si>
    <t>2.12b</t>
  </si>
  <si>
    <t>Arbeitslosenversicherung</t>
  </si>
  <si>
    <t>Pflegeversicherung</t>
  </si>
  <si>
    <t>U2 Mutterschaftsaufwendungen</t>
  </si>
  <si>
    <t>U3 (Insolvenzgeldumlage</t>
  </si>
  <si>
    <t>Zwischensumme 2.10 Sozialversicherungsbeiträge</t>
  </si>
  <si>
    <t>Soziallöhne</t>
  </si>
  <si>
    <t>Entgeltfortzahlung im Krankheitsfall</t>
  </si>
  <si>
    <t>2.25</t>
  </si>
  <si>
    <t>Sozialversicherungsbeiträge auf Soziallöhne
(aus Zwischensumme 2.10 Sozialversicherungsbeiträge)</t>
  </si>
  <si>
    <t>Zwischensumme 2.20 Soziallöhne</t>
  </si>
  <si>
    <t>Summe Sozialversicherungsbeiträge und Soziallöhne</t>
  </si>
  <si>
    <t>Zusätzliche lohngebundene Kosten</t>
  </si>
  <si>
    <t>2.31</t>
  </si>
  <si>
    <t>2.32</t>
  </si>
  <si>
    <t>Sonstige Personalkosten (Arbeitskleidung, usw.)</t>
  </si>
  <si>
    <t>Summe lohngebundene Kosten</t>
  </si>
  <si>
    <t>Sonstige auftragsbezogene Kosten</t>
  </si>
  <si>
    <t>Aufsichtslohn Vorarbeiter inkl. Soziale Folgekosten</t>
  </si>
  <si>
    <t>Fahrkostenzuschuss</t>
  </si>
  <si>
    <t>3.31</t>
  </si>
  <si>
    <t>3.32</t>
  </si>
  <si>
    <t>Maschinen und Gerätekosten, Afa etc.</t>
  </si>
  <si>
    <t>Summe 3.00 auftragsgebundene Kosten</t>
  </si>
  <si>
    <t>4.11</t>
  </si>
  <si>
    <t>4.12</t>
  </si>
  <si>
    <t>4.31</t>
  </si>
  <si>
    <t>Löhne Hilfsdienste, inkl. Lohnfolgekosten</t>
  </si>
  <si>
    <t>4.32</t>
  </si>
  <si>
    <t>Sonstige Betriebskosten</t>
  </si>
  <si>
    <t>Sonstige Verwaltungskosten</t>
  </si>
  <si>
    <t>Sonstige Kosten (Verbandsbeiträge, Zertifizierung, usw.)</t>
  </si>
  <si>
    <t>Vorfinanzierung Sozialversicherungsbeiträge</t>
  </si>
  <si>
    <t>Summe 4.00 unternehmensbezogene Kosten</t>
  </si>
  <si>
    <r>
      <rPr>
        <b/>
        <sz val="11"/>
        <color rgb="FF000000"/>
        <rFont val="Arial"/>
        <family val="2"/>
      </rPr>
      <t>Gewerbesteuer</t>
    </r>
    <r>
      <rPr>
        <sz val="11"/>
        <color indexed="8"/>
        <rFont val="Arial"/>
        <family val="2"/>
      </rPr>
      <t xml:space="preserve">
(bezogen auf Pos. 1.00, 2.00ff, 3.10, 4.11, 4.12, 4.31)</t>
    </r>
  </si>
  <si>
    <t>Zuschlag für Wagnis + Gewinn</t>
  </si>
  <si>
    <t>Kalkulationszuschlag</t>
  </si>
  <si>
    <t>Ø Stundenverrechnungssatz an Werktagen, ab 01.01.2026*</t>
  </si>
  <si>
    <t>Grundreinigung aller Räume (ohne "KR")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</si>
</sst>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0.0"/>
    <numFmt numFmtId="165" formatCode="_-* #,##0.00\ [$€-1]_-;\-* #,##0.00\ [$€-1]_-;_-* &quot;-&quot;??\ [$€-1]_-"/>
    <numFmt numFmtId="166" formatCode="#,##0_ ;\-#,##0\ "/>
    <numFmt numFmtId="167" formatCode="#,##0.00\ &quot;€&quot;"/>
    <numFmt numFmtId="168" formatCode="#,##0.00&quot; m²&quot;"/>
    <numFmt numFmtId="169" formatCode="#,##0.00&quot; Std.&quot;"/>
    <numFmt numFmtId="170" formatCode="0&quot; Tage&quot;"/>
    <numFmt numFmtId="171" formatCode="#,##0&quot; m²/Std.&quot;"/>
    <numFmt numFmtId="172" formatCode="[h]:mm:ss;@"/>
    <numFmt numFmtId="173" formatCode="#,##0.00&quot; Std./Jahr&quot;"/>
    <numFmt numFmtId="174" formatCode="#,##0.00_ ;\-#,##0.00\ "/>
    <numFmt numFmtId="175" formatCode="#,##0&quot; m²&quot;"/>
    <numFmt numFmtId="176" formatCode="#,##0.00\ &quot;€/Std.&quot;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b/>
      <u/>
      <sz val="10"/>
      <color indexed="12"/>
      <name val="Arial"/>
      <family val="2"/>
    </font>
    <font>
      <sz val="11"/>
      <color indexed="9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u/>
      <sz val="11"/>
      <color indexed="8"/>
      <name val="Arial"/>
      <family val="2"/>
    </font>
    <font>
      <b/>
      <u/>
      <sz val="10"/>
      <name val="Arial"/>
      <family val="2"/>
    </font>
    <font>
      <b/>
      <sz val="11"/>
      <color indexed="12"/>
      <name val="Arial"/>
      <family val="2"/>
    </font>
    <font>
      <sz val="10"/>
      <color rgb="FFFF0000"/>
      <name val="Arial"/>
      <family val="2"/>
    </font>
    <font>
      <sz val="8"/>
      <color indexed="8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10"/>
      <color indexed="81"/>
      <name val="Segoe UI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000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11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165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7" fillId="0" borderId="0" applyNumberFormat="0" applyFill="0" applyBorder="0" applyAlignment="0" applyProtection="0">
      <alignment vertical="top"/>
      <protection locked="0"/>
    </xf>
    <xf numFmtId="171" fontId="9" fillId="0" borderId="54">
      <alignment vertical="center" wrapText="1"/>
      <protection locked="0" hidden="1"/>
    </xf>
    <xf numFmtId="0" fontId="9" fillId="0" borderId="0"/>
    <xf numFmtId="0" fontId="2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420">
    <xf numFmtId="0" fontId="0" fillId="0" borderId="0" xfId="0"/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9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9" fillId="0" borderId="0" xfId="0" applyFont="1" applyAlignment="1">
      <alignment vertical="top"/>
    </xf>
    <xf numFmtId="0" fontId="3" fillId="0" borderId="2" xfId="0" applyFont="1" applyBorder="1" applyAlignment="1" applyProtection="1">
      <alignment horizontal="left" vertical="center"/>
      <protection hidden="1"/>
    </xf>
    <xf numFmtId="0" fontId="3" fillId="0" borderId="3" xfId="0" applyFont="1" applyBorder="1" applyAlignment="1" applyProtection="1">
      <alignment horizontal="left" vertical="center"/>
      <protection hidden="1"/>
    </xf>
    <xf numFmtId="0" fontId="4" fillId="0" borderId="4" xfId="0" applyFont="1" applyBorder="1" applyAlignment="1" applyProtection="1">
      <alignment vertical="center"/>
      <protection hidden="1"/>
    </xf>
    <xf numFmtId="4" fontId="7" fillId="0" borderId="5" xfId="0" applyNumberFormat="1" applyFont="1" applyBorder="1" applyAlignment="1">
      <alignment vertical="center"/>
    </xf>
    <xf numFmtId="4" fontId="6" fillId="0" borderId="6" xfId="0" applyNumberFormat="1" applyFont="1" applyBorder="1" applyAlignment="1">
      <alignment vertical="center"/>
    </xf>
    <xf numFmtId="4" fontId="6" fillId="0" borderId="7" xfId="0" applyNumberFormat="1" applyFont="1" applyBorder="1" applyAlignment="1">
      <alignment vertical="center"/>
    </xf>
    <xf numFmtId="49" fontId="7" fillId="0" borderId="8" xfId="0" applyNumberFormat="1" applyFont="1" applyBorder="1" applyAlignment="1">
      <alignment horizontal="left" vertical="center" indent="1"/>
    </xf>
    <xf numFmtId="0" fontId="0" fillId="0" borderId="0" xfId="0" applyAlignment="1">
      <alignment vertical="center"/>
    </xf>
    <xf numFmtId="0" fontId="0" fillId="0" borderId="9" xfId="0" applyBorder="1"/>
    <xf numFmtId="0" fontId="6" fillId="0" borderId="10" xfId="0" applyFont="1" applyBorder="1" applyAlignment="1">
      <alignment horizontal="justify" vertical="center"/>
    </xf>
    <xf numFmtId="0" fontId="6" fillId="0" borderId="11" xfId="0" applyFont="1" applyBorder="1" applyAlignment="1">
      <alignment horizontal="justify" vertical="center"/>
    </xf>
    <xf numFmtId="0" fontId="6" fillId="0" borderId="12" xfId="0" applyFont="1" applyBorder="1" applyAlignment="1">
      <alignment horizontal="justify" vertical="center"/>
    </xf>
    <xf numFmtId="0" fontId="8" fillId="2" borderId="13" xfId="0" applyFont="1" applyFill="1" applyBorder="1" applyAlignment="1" applyProtection="1">
      <alignment horizontal="center" vertical="top"/>
      <protection locked="0" hidden="1"/>
    </xf>
    <xf numFmtId="0" fontId="8" fillId="2" borderId="14" xfId="0" applyFont="1" applyFill="1" applyBorder="1" applyAlignment="1" applyProtection="1">
      <alignment horizontal="center" vertical="top"/>
      <protection locked="0" hidden="1"/>
    </xf>
    <xf numFmtId="0" fontId="8" fillId="2" borderId="15" xfId="0" applyFont="1" applyFill="1" applyBorder="1" applyAlignment="1" applyProtection="1">
      <alignment horizontal="center" vertical="top"/>
      <protection locked="0" hidden="1"/>
    </xf>
    <xf numFmtId="168" fontId="8" fillId="2" borderId="15" xfId="0" applyNumberFormat="1" applyFont="1" applyFill="1" applyBorder="1" applyAlignment="1" applyProtection="1">
      <alignment horizontal="center" vertical="top"/>
      <protection locked="0" hidden="1"/>
    </xf>
    <xf numFmtId="164" fontId="8" fillId="2" borderId="15" xfId="0" applyNumberFormat="1" applyFont="1" applyFill="1" applyBorder="1" applyAlignment="1" applyProtection="1">
      <alignment horizontal="center" vertical="top"/>
      <protection locked="0" hidden="1"/>
    </xf>
    <xf numFmtId="171" fontId="8" fillId="2" borderId="15" xfId="0" applyNumberFormat="1" applyFont="1" applyFill="1" applyBorder="1" applyAlignment="1" applyProtection="1">
      <alignment horizontal="center" vertical="top"/>
      <protection locked="0" hidden="1"/>
    </xf>
    <xf numFmtId="173" fontId="8" fillId="2" borderId="15" xfId="0" applyNumberFormat="1" applyFont="1" applyFill="1" applyBorder="1" applyAlignment="1" applyProtection="1">
      <alignment horizontal="center" vertical="top"/>
      <protection locked="0" hidden="1"/>
    </xf>
    <xf numFmtId="167" fontId="8" fillId="2" borderId="15" xfId="0" applyNumberFormat="1" applyFont="1" applyFill="1" applyBorder="1" applyAlignment="1" applyProtection="1">
      <alignment horizontal="center" vertical="top"/>
      <protection locked="0" hidden="1"/>
    </xf>
    <xf numFmtId="167" fontId="8" fillId="2" borderId="16" xfId="0" applyNumberFormat="1" applyFont="1" applyFill="1" applyBorder="1" applyAlignment="1" applyProtection="1">
      <alignment horizontal="center" vertical="top"/>
      <protection locked="0" hidden="1"/>
    </xf>
    <xf numFmtId="168" fontId="0" fillId="0" borderId="0" xfId="0" applyNumberFormat="1" applyProtection="1">
      <protection hidden="1"/>
    </xf>
    <xf numFmtId="0" fontId="0" fillId="0" borderId="0" xfId="0" applyAlignment="1" applyProtection="1">
      <alignment horizontal="center"/>
      <protection hidden="1"/>
    </xf>
    <xf numFmtId="164" fontId="0" fillId="0" borderId="0" xfId="0" applyNumberFormat="1" applyAlignment="1" applyProtection="1">
      <alignment horizontal="center"/>
      <protection hidden="1"/>
    </xf>
    <xf numFmtId="171" fontId="0" fillId="0" borderId="0" xfId="0" applyNumberFormat="1" applyProtection="1">
      <protection hidden="1"/>
    </xf>
    <xf numFmtId="173" fontId="0" fillId="0" borderId="0" xfId="0" applyNumberFormat="1" applyProtection="1">
      <protection hidden="1"/>
    </xf>
    <xf numFmtId="167" fontId="0" fillId="0" borderId="0" xfId="0" applyNumberFormat="1" applyProtection="1">
      <protection hidden="1"/>
    </xf>
    <xf numFmtId="0" fontId="12" fillId="2" borderId="17" xfId="0" applyFont="1" applyFill="1" applyBorder="1" applyAlignment="1" applyProtection="1">
      <alignment vertical="center"/>
      <protection hidden="1"/>
    </xf>
    <xf numFmtId="0" fontId="12" fillId="2" borderId="18" xfId="0" applyFont="1" applyFill="1" applyBorder="1" applyAlignment="1" applyProtection="1">
      <alignment vertical="center"/>
      <protection hidden="1"/>
    </xf>
    <xf numFmtId="0" fontId="12" fillId="2" borderId="19" xfId="0" applyFont="1" applyFill="1" applyBorder="1" applyAlignment="1" applyProtection="1">
      <alignment horizontal="right" vertical="center"/>
      <protection hidden="1"/>
    </xf>
    <xf numFmtId="164" fontId="6" fillId="0" borderId="0" xfId="0" applyNumberFormat="1" applyFont="1" applyAlignment="1" applyProtection="1">
      <alignment horizontal="center" vertical="center"/>
      <protection hidden="1"/>
    </xf>
    <xf numFmtId="0" fontId="12" fillId="2" borderId="18" xfId="0" applyFont="1" applyFill="1" applyBorder="1" applyAlignment="1" applyProtection="1">
      <alignment horizontal="right" vertical="center"/>
      <protection hidden="1"/>
    </xf>
    <xf numFmtId="167" fontId="6" fillId="0" borderId="0" xfId="0" applyNumberFormat="1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8" fillId="2" borderId="17" xfId="0" applyFont="1" applyFill="1" applyBorder="1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164" fontId="8" fillId="0" borderId="0" xfId="0" applyNumberFormat="1" applyFont="1" applyAlignment="1" applyProtection="1">
      <alignment vertical="center"/>
      <protection hidden="1"/>
    </xf>
    <xf numFmtId="167" fontId="0" fillId="0" borderId="0" xfId="0" applyNumberFormat="1" applyAlignment="1" applyProtection="1">
      <alignment vertical="center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164" fontId="8" fillId="0" borderId="0" xfId="0" applyNumberFormat="1" applyFont="1" applyAlignment="1" applyProtection="1">
      <alignment horizontal="center" vertical="center"/>
      <protection hidden="1"/>
    </xf>
    <xf numFmtId="167" fontId="8" fillId="0" borderId="0" xfId="0" applyNumberFormat="1" applyFont="1" applyAlignment="1" applyProtection="1">
      <alignment vertical="center"/>
      <protection hidden="1"/>
    </xf>
    <xf numFmtId="0" fontId="8" fillId="2" borderId="20" xfId="0" applyFont="1" applyFill="1" applyBorder="1" applyAlignment="1" applyProtection="1">
      <alignment horizontal="center" vertical="top"/>
      <protection hidden="1"/>
    </xf>
    <xf numFmtId="0" fontId="8" fillId="2" borderId="21" xfId="0" applyFont="1" applyFill="1" applyBorder="1" applyAlignment="1" applyProtection="1">
      <alignment horizontal="center" vertical="top"/>
      <protection hidden="1"/>
    </xf>
    <xf numFmtId="0" fontId="8" fillId="2" borderId="22" xfId="0" applyFont="1" applyFill="1" applyBorder="1" applyAlignment="1" applyProtection="1">
      <alignment horizontal="center" vertical="top"/>
      <protection hidden="1"/>
    </xf>
    <xf numFmtId="168" fontId="8" fillId="2" borderId="22" xfId="0" applyNumberFormat="1" applyFont="1" applyFill="1" applyBorder="1" applyAlignment="1" applyProtection="1">
      <alignment horizontal="center" vertical="top"/>
      <protection hidden="1"/>
    </xf>
    <xf numFmtId="171" fontId="8" fillId="2" borderId="22" xfId="0" applyNumberFormat="1" applyFont="1" applyFill="1" applyBorder="1" applyAlignment="1" applyProtection="1">
      <alignment horizontal="center" vertical="top"/>
      <protection hidden="1"/>
    </xf>
    <xf numFmtId="173" fontId="8" fillId="2" borderId="22" xfId="0" applyNumberFormat="1" applyFont="1" applyFill="1" applyBorder="1" applyAlignment="1" applyProtection="1">
      <alignment horizontal="center" vertical="top"/>
      <protection hidden="1"/>
    </xf>
    <xf numFmtId="167" fontId="8" fillId="2" borderId="22" xfId="0" applyNumberFormat="1" applyFont="1" applyFill="1" applyBorder="1" applyAlignment="1" applyProtection="1">
      <alignment horizontal="center" vertical="top"/>
      <protection hidden="1"/>
    </xf>
    <xf numFmtId="167" fontId="8" fillId="2" borderId="23" xfId="0" applyNumberFormat="1" applyFont="1" applyFill="1" applyBorder="1" applyAlignment="1" applyProtection="1">
      <alignment horizontal="center" vertical="top"/>
      <protection hidden="1"/>
    </xf>
    <xf numFmtId="0" fontId="8" fillId="0" borderId="0" xfId="0" applyFont="1" applyAlignment="1" applyProtection="1">
      <alignment horizontal="center" vertical="top"/>
      <protection hidden="1"/>
    </xf>
    <xf numFmtId="0" fontId="8" fillId="2" borderId="13" xfId="0" applyFont="1" applyFill="1" applyBorder="1" applyAlignment="1" applyProtection="1">
      <alignment horizontal="center" vertical="top"/>
      <protection hidden="1"/>
    </xf>
    <xf numFmtId="0" fontId="8" fillId="2" borderId="14" xfId="0" applyFont="1" applyFill="1" applyBorder="1" applyAlignment="1" applyProtection="1">
      <alignment horizontal="center" vertical="top"/>
      <protection hidden="1"/>
    </xf>
    <xf numFmtId="0" fontId="8" fillId="2" borderId="15" xfId="0" applyFont="1" applyFill="1" applyBorder="1" applyAlignment="1" applyProtection="1">
      <alignment horizontal="center" vertical="top"/>
      <protection hidden="1"/>
    </xf>
    <xf numFmtId="168" fontId="8" fillId="2" borderId="15" xfId="0" applyNumberFormat="1" applyFont="1" applyFill="1" applyBorder="1" applyAlignment="1" applyProtection="1">
      <alignment horizontal="center" vertical="top"/>
      <protection hidden="1"/>
    </xf>
    <xf numFmtId="164" fontId="8" fillId="2" borderId="15" xfId="0" applyNumberFormat="1" applyFont="1" applyFill="1" applyBorder="1" applyAlignment="1" applyProtection="1">
      <alignment horizontal="center" vertical="top"/>
      <protection hidden="1"/>
    </xf>
    <xf numFmtId="171" fontId="8" fillId="2" borderId="15" xfId="0" applyNumberFormat="1" applyFont="1" applyFill="1" applyBorder="1" applyAlignment="1" applyProtection="1">
      <alignment horizontal="center" vertical="top"/>
      <protection hidden="1"/>
    </xf>
    <xf numFmtId="173" fontId="8" fillId="2" borderId="15" xfId="0" applyNumberFormat="1" applyFont="1" applyFill="1" applyBorder="1" applyAlignment="1" applyProtection="1">
      <alignment horizontal="center" vertical="top"/>
      <protection hidden="1"/>
    </xf>
    <xf numFmtId="167" fontId="8" fillId="2" borderId="15" xfId="0" applyNumberFormat="1" applyFont="1" applyFill="1" applyBorder="1" applyAlignment="1" applyProtection="1">
      <alignment horizontal="center" vertical="top"/>
      <protection hidden="1"/>
    </xf>
    <xf numFmtId="167" fontId="8" fillId="2" borderId="16" xfId="0" applyNumberFormat="1" applyFont="1" applyFill="1" applyBorder="1" applyAlignment="1" applyProtection="1">
      <alignment horizontal="center" vertical="top"/>
      <protection hidden="1"/>
    </xf>
    <xf numFmtId="0" fontId="11" fillId="0" borderId="24" xfId="0" applyFont="1" applyBorder="1" applyProtection="1">
      <protection hidden="1"/>
    </xf>
    <xf numFmtId="0" fontId="11" fillId="0" borderId="25" xfId="0" applyFont="1" applyBorder="1" applyProtection="1">
      <protection hidden="1"/>
    </xf>
    <xf numFmtId="168" fontId="11" fillId="0" borderId="25" xfId="0" applyNumberFormat="1" applyFont="1" applyBorder="1" applyProtection="1">
      <protection hidden="1"/>
    </xf>
    <xf numFmtId="0" fontId="11" fillId="0" borderId="25" xfId="0" applyFont="1" applyBorder="1" applyAlignment="1" applyProtection="1">
      <alignment horizontal="center"/>
      <protection hidden="1"/>
    </xf>
    <xf numFmtId="164" fontId="11" fillId="0" borderId="25" xfId="0" applyNumberFormat="1" applyFont="1" applyBorder="1" applyAlignment="1" applyProtection="1">
      <alignment horizontal="center"/>
      <protection hidden="1"/>
    </xf>
    <xf numFmtId="171" fontId="11" fillId="0" borderId="25" xfId="0" applyNumberFormat="1" applyFont="1" applyBorder="1" applyProtection="1">
      <protection hidden="1"/>
    </xf>
    <xf numFmtId="172" fontId="11" fillId="0" borderId="25" xfId="0" applyNumberFormat="1" applyFont="1" applyBorder="1" applyProtection="1">
      <protection hidden="1"/>
    </xf>
    <xf numFmtId="173" fontId="11" fillId="0" borderId="25" xfId="0" applyNumberFormat="1" applyFont="1" applyBorder="1" applyProtection="1">
      <protection hidden="1"/>
    </xf>
    <xf numFmtId="167" fontId="11" fillId="0" borderId="25" xfId="0" applyNumberFormat="1" applyFont="1" applyBorder="1" applyProtection="1">
      <protection hidden="1"/>
    </xf>
    <xf numFmtId="167" fontId="11" fillId="0" borderId="26" xfId="0" applyNumberFormat="1" applyFont="1" applyBorder="1" applyProtection="1">
      <protection hidden="1"/>
    </xf>
    <xf numFmtId="0" fontId="0" fillId="0" borderId="27" xfId="0" applyBorder="1" applyAlignment="1" applyProtection="1">
      <alignment horizontal="center" vertical="center"/>
      <protection hidden="1"/>
    </xf>
    <xf numFmtId="164" fontId="0" fillId="0" borderId="27" xfId="0" applyNumberFormat="1" applyBorder="1" applyAlignment="1" applyProtection="1">
      <alignment horizontal="center" vertical="center"/>
      <protection hidden="1"/>
    </xf>
    <xf numFmtId="173" fontId="0" fillId="0" borderId="28" xfId="0" applyNumberFormat="1" applyBorder="1" applyAlignment="1" applyProtection="1">
      <alignment vertical="center"/>
      <protection hidden="1"/>
    </xf>
    <xf numFmtId="0" fontId="0" fillId="0" borderId="8" xfId="0" applyBorder="1" applyAlignment="1" applyProtection="1">
      <alignment vertical="center"/>
      <protection hidden="1"/>
    </xf>
    <xf numFmtId="0" fontId="0" fillId="0" borderId="28" xfId="0" applyBorder="1" applyAlignment="1" applyProtection="1">
      <alignment vertical="center"/>
      <protection hidden="1"/>
    </xf>
    <xf numFmtId="168" fontId="0" fillId="0" borderId="28" xfId="0" applyNumberFormat="1" applyBorder="1" applyAlignment="1" applyProtection="1">
      <alignment vertical="center"/>
      <protection hidden="1"/>
    </xf>
    <xf numFmtId="172" fontId="0" fillId="0" borderId="28" xfId="0" applyNumberFormat="1" applyBorder="1" applyAlignment="1" applyProtection="1">
      <alignment vertical="center"/>
      <protection hidden="1"/>
    </xf>
    <xf numFmtId="167" fontId="0" fillId="0" borderId="5" xfId="0" applyNumberFormat="1" applyBorder="1" applyAlignment="1" applyProtection="1">
      <alignment vertical="center"/>
      <protection hidden="1"/>
    </xf>
    <xf numFmtId="0" fontId="0" fillId="0" borderId="29" xfId="0" applyBorder="1" applyAlignment="1" applyProtection="1">
      <alignment vertical="center"/>
      <protection hidden="1"/>
    </xf>
    <xf numFmtId="0" fontId="0" fillId="0" borderId="30" xfId="0" applyBorder="1" applyAlignment="1" applyProtection="1">
      <alignment vertical="center"/>
      <protection hidden="1"/>
    </xf>
    <xf numFmtId="168" fontId="0" fillId="0" borderId="30" xfId="0" applyNumberFormat="1" applyBorder="1" applyAlignment="1" applyProtection="1">
      <alignment vertical="center"/>
      <protection hidden="1"/>
    </xf>
    <xf numFmtId="0" fontId="0" fillId="0" borderId="30" xfId="0" applyBorder="1" applyAlignment="1" applyProtection="1">
      <alignment horizontal="center" vertical="center"/>
      <protection hidden="1"/>
    </xf>
    <xf numFmtId="164" fontId="0" fillId="0" borderId="30" xfId="0" applyNumberFormat="1" applyBorder="1" applyAlignment="1" applyProtection="1">
      <alignment horizontal="center" vertical="center"/>
      <protection hidden="1"/>
    </xf>
    <xf numFmtId="171" fontId="0" fillId="0" borderId="30" xfId="0" applyNumberFormat="1" applyBorder="1" applyAlignment="1" applyProtection="1">
      <alignment vertical="center"/>
      <protection hidden="1"/>
    </xf>
    <xf numFmtId="173" fontId="0" fillId="0" borderId="30" xfId="0" applyNumberFormat="1" applyBorder="1" applyAlignment="1" applyProtection="1">
      <alignment vertical="center"/>
      <protection hidden="1"/>
    </xf>
    <xf numFmtId="167" fontId="0" fillId="0" borderId="30" xfId="0" applyNumberFormat="1" applyBorder="1" applyAlignment="1" applyProtection="1">
      <alignment vertical="center"/>
      <protection hidden="1"/>
    </xf>
    <xf numFmtId="167" fontId="0" fillId="0" borderId="31" xfId="0" applyNumberFormat="1" applyBorder="1" applyAlignment="1" applyProtection="1">
      <alignment vertical="center"/>
      <protection hidden="1"/>
    </xf>
    <xf numFmtId="0" fontId="8" fillId="2" borderId="18" xfId="0" applyFont="1" applyFill="1" applyBorder="1" applyAlignment="1" applyProtection="1">
      <alignment vertical="center"/>
      <protection hidden="1"/>
    </xf>
    <xf numFmtId="0" fontId="8" fillId="2" borderId="32" xfId="0" applyFont="1" applyFill="1" applyBorder="1" applyAlignment="1" applyProtection="1">
      <alignment vertical="center"/>
      <protection hidden="1"/>
    </xf>
    <xf numFmtId="168" fontId="8" fillId="2" borderId="33" xfId="0" applyNumberFormat="1" applyFont="1" applyFill="1" applyBorder="1" applyAlignment="1" applyProtection="1">
      <alignment vertical="center"/>
      <protection hidden="1"/>
    </xf>
    <xf numFmtId="0" fontId="8" fillId="2" borderId="18" xfId="0" applyFont="1" applyFill="1" applyBorder="1" applyAlignment="1" applyProtection="1">
      <alignment horizontal="center" vertical="center"/>
      <protection hidden="1"/>
    </xf>
    <xf numFmtId="164" fontId="8" fillId="2" borderId="18" xfId="0" applyNumberFormat="1" applyFont="1" applyFill="1" applyBorder="1" applyAlignment="1" applyProtection="1">
      <alignment horizontal="center" vertical="center"/>
      <protection hidden="1"/>
    </xf>
    <xf numFmtId="171" fontId="8" fillId="2" borderId="33" xfId="0" applyNumberFormat="1" applyFont="1" applyFill="1" applyBorder="1" applyAlignment="1" applyProtection="1">
      <alignment vertical="center"/>
      <protection hidden="1"/>
    </xf>
    <xf numFmtId="173" fontId="8" fillId="2" borderId="33" xfId="0" applyNumberFormat="1" applyFont="1" applyFill="1" applyBorder="1" applyAlignment="1" applyProtection="1">
      <alignment vertical="center"/>
      <protection hidden="1"/>
    </xf>
    <xf numFmtId="167" fontId="8" fillId="2" borderId="18" xfId="0" applyNumberFormat="1" applyFont="1" applyFill="1" applyBorder="1" applyAlignment="1" applyProtection="1">
      <alignment vertical="center"/>
      <protection hidden="1"/>
    </xf>
    <xf numFmtId="0" fontId="0" fillId="0" borderId="29" xfId="0" applyBorder="1" applyProtection="1">
      <protection hidden="1"/>
    </xf>
    <xf numFmtId="0" fontId="0" fillId="0" borderId="30" xfId="0" applyBorder="1" applyProtection="1">
      <protection hidden="1"/>
    </xf>
    <xf numFmtId="168" fontId="0" fillId="0" borderId="30" xfId="0" applyNumberFormat="1" applyBorder="1" applyProtection="1">
      <protection hidden="1"/>
    </xf>
    <xf numFmtId="0" fontId="0" fillId="0" borderId="30" xfId="0" applyBorder="1" applyAlignment="1" applyProtection="1">
      <alignment horizontal="center"/>
      <protection hidden="1"/>
    </xf>
    <xf numFmtId="164" fontId="0" fillId="0" borderId="30" xfId="0" applyNumberFormat="1" applyBorder="1" applyAlignment="1" applyProtection="1">
      <alignment horizontal="center"/>
      <protection hidden="1"/>
    </xf>
    <xf numFmtId="171" fontId="0" fillId="0" borderId="30" xfId="0" applyNumberFormat="1" applyBorder="1" applyProtection="1">
      <protection hidden="1"/>
    </xf>
    <xf numFmtId="173" fontId="0" fillId="0" borderId="30" xfId="0" applyNumberFormat="1" applyBorder="1" applyProtection="1">
      <protection hidden="1"/>
    </xf>
    <xf numFmtId="167" fontId="0" fillId="0" borderId="30" xfId="0" applyNumberFormat="1" applyBorder="1" applyProtection="1">
      <protection hidden="1"/>
    </xf>
    <xf numFmtId="167" fontId="0" fillId="0" borderId="31" xfId="0" applyNumberFormat="1" applyBorder="1" applyProtection="1">
      <protection hidden="1"/>
    </xf>
    <xf numFmtId="0" fontId="6" fillId="0" borderId="34" xfId="0" applyFont="1" applyBorder="1" applyAlignment="1">
      <alignment horizontal="justify" vertical="center"/>
    </xf>
    <xf numFmtId="0" fontId="0" fillId="0" borderId="9" xfId="0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2" borderId="17" xfId="0" applyFont="1" applyFill="1" applyBorder="1" applyAlignment="1" applyProtection="1">
      <alignment vertical="center"/>
      <protection hidden="1"/>
    </xf>
    <xf numFmtId="164" fontId="6" fillId="2" borderId="17" xfId="0" applyNumberFormat="1" applyFont="1" applyFill="1" applyBorder="1" applyAlignment="1" applyProtection="1">
      <alignment vertical="center"/>
      <protection hidden="1"/>
    </xf>
    <xf numFmtId="0" fontId="7" fillId="2" borderId="18" xfId="0" applyFont="1" applyFill="1" applyBorder="1" applyAlignment="1" applyProtection="1">
      <alignment vertical="center"/>
      <protection hidden="1"/>
    </xf>
    <xf numFmtId="0" fontId="6" fillId="2" borderId="19" xfId="0" applyFont="1" applyFill="1" applyBorder="1" applyAlignment="1" applyProtection="1">
      <alignment vertical="center"/>
      <protection hidden="1"/>
    </xf>
    <xf numFmtId="0" fontId="7" fillId="0" borderId="36" xfId="0" applyFont="1" applyBorder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170" fontId="7" fillId="0" borderId="37" xfId="0" applyNumberFormat="1" applyFont="1" applyBorder="1" applyAlignment="1" applyProtection="1">
      <alignment vertical="center"/>
      <protection hidden="1"/>
    </xf>
    <xf numFmtId="168" fontId="7" fillId="0" borderId="37" xfId="0" applyNumberFormat="1" applyFont="1" applyBorder="1" applyAlignment="1" applyProtection="1">
      <alignment vertical="center"/>
      <protection hidden="1"/>
    </xf>
    <xf numFmtId="169" fontId="7" fillId="0" borderId="37" xfId="0" applyNumberFormat="1" applyFont="1" applyBorder="1" applyAlignment="1" applyProtection="1">
      <alignment vertical="center"/>
      <protection hidden="1"/>
    </xf>
    <xf numFmtId="171" fontId="7" fillId="0" borderId="37" xfId="0" applyNumberFormat="1" applyFont="1" applyBorder="1" applyAlignment="1" applyProtection="1">
      <alignment vertical="center"/>
      <protection hidden="1"/>
    </xf>
    <xf numFmtId="0" fontId="7" fillId="0" borderId="3" xfId="0" applyFont="1" applyBorder="1" applyAlignment="1" applyProtection="1">
      <alignment vertical="center"/>
      <protection hidden="1"/>
    </xf>
    <xf numFmtId="0" fontId="7" fillId="0" borderId="4" xfId="0" applyFont="1" applyBorder="1" applyAlignment="1" applyProtection="1">
      <alignment vertical="center"/>
      <protection hidden="1"/>
    </xf>
    <xf numFmtId="167" fontId="7" fillId="0" borderId="38" xfId="0" applyNumberFormat="1" applyFont="1" applyBorder="1" applyAlignment="1" applyProtection="1">
      <alignment vertical="center"/>
      <protection hidden="1"/>
    </xf>
    <xf numFmtId="167" fontId="7" fillId="0" borderId="0" xfId="0" applyNumberFormat="1" applyFont="1" applyAlignment="1" applyProtection="1">
      <alignment vertical="center"/>
      <protection hidden="1"/>
    </xf>
    <xf numFmtId="0" fontId="6" fillId="0" borderId="2" xfId="0" applyFont="1" applyBorder="1" applyAlignment="1" applyProtection="1">
      <alignment vertical="center"/>
      <protection hidden="1"/>
    </xf>
    <xf numFmtId="167" fontId="7" fillId="0" borderId="39" xfId="0" applyNumberFormat="1" applyFont="1" applyBorder="1" applyAlignment="1" applyProtection="1">
      <alignment vertical="center"/>
      <protection hidden="1"/>
    </xf>
    <xf numFmtId="167" fontId="6" fillId="0" borderId="40" xfId="0" applyNumberFormat="1" applyFont="1" applyBorder="1" applyAlignment="1" applyProtection="1">
      <alignment vertical="center"/>
      <protection hidden="1"/>
    </xf>
    <xf numFmtId="0" fontId="6" fillId="0" borderId="36" xfId="0" applyFont="1" applyBorder="1" applyAlignment="1" applyProtection="1">
      <alignment vertical="center"/>
      <protection hidden="1"/>
    </xf>
    <xf numFmtId="167" fontId="6" fillId="0" borderId="37" xfId="0" applyNumberFormat="1" applyFont="1" applyBorder="1" applyAlignment="1" applyProtection="1">
      <alignment vertical="center"/>
      <protection hidden="1"/>
    </xf>
    <xf numFmtId="0" fontId="6" fillId="0" borderId="3" xfId="0" applyFont="1" applyBorder="1" applyAlignment="1" applyProtection="1">
      <alignment vertical="center"/>
      <protection hidden="1"/>
    </xf>
    <xf numFmtId="167" fontId="7" fillId="0" borderId="4" xfId="0" applyNumberFormat="1" applyFont="1" applyBorder="1" applyAlignment="1" applyProtection="1">
      <alignment vertical="center"/>
      <protection hidden="1"/>
    </xf>
    <xf numFmtId="167" fontId="6" fillId="0" borderId="38" xfId="0" applyNumberFormat="1" applyFont="1" applyBorder="1" applyAlignment="1" applyProtection="1">
      <alignment vertical="center"/>
      <protection hidden="1"/>
    </xf>
    <xf numFmtId="164" fontId="6" fillId="2" borderId="18" xfId="0" applyNumberFormat="1" applyFont="1" applyFill="1" applyBorder="1" applyAlignment="1" applyProtection="1">
      <alignment vertical="center"/>
      <protection hidden="1"/>
    </xf>
    <xf numFmtId="173" fontId="7" fillId="2" borderId="19" xfId="0" applyNumberFormat="1" applyFont="1" applyFill="1" applyBorder="1" applyAlignment="1" applyProtection="1">
      <alignment vertical="center"/>
      <protection hidden="1"/>
    </xf>
    <xf numFmtId="171" fontId="7" fillId="0" borderId="0" xfId="0" applyNumberFormat="1" applyFont="1" applyAlignment="1" applyProtection="1">
      <alignment vertical="center"/>
      <protection hidden="1"/>
    </xf>
    <xf numFmtId="173" fontId="7" fillId="0" borderId="37" xfId="0" applyNumberFormat="1" applyFont="1" applyBorder="1" applyAlignment="1" applyProtection="1">
      <alignment horizontal="center" vertical="center"/>
      <protection hidden="1"/>
    </xf>
    <xf numFmtId="173" fontId="7" fillId="0" borderId="37" xfId="0" applyNumberFormat="1" applyFont="1" applyBorder="1" applyAlignment="1" applyProtection="1">
      <alignment vertical="center"/>
      <protection hidden="1"/>
    </xf>
    <xf numFmtId="168" fontId="7" fillId="0" borderId="37" xfId="0" applyNumberFormat="1" applyFont="1" applyBorder="1" applyAlignment="1" applyProtection="1">
      <alignment horizontal="right" vertical="center"/>
      <protection hidden="1"/>
    </xf>
    <xf numFmtId="171" fontId="7" fillId="0" borderId="37" xfId="0" applyNumberFormat="1" applyFont="1" applyBorder="1" applyAlignment="1" applyProtection="1">
      <alignment horizontal="right" vertical="center"/>
      <protection hidden="1"/>
    </xf>
    <xf numFmtId="167" fontId="7" fillId="0" borderId="38" xfId="0" applyNumberFormat="1" applyFont="1" applyBorder="1" applyAlignment="1" applyProtection="1">
      <alignment horizontal="right" vertical="center"/>
      <protection hidden="1"/>
    </xf>
    <xf numFmtId="171" fontId="7" fillId="0" borderId="0" xfId="0" applyNumberFormat="1" applyFont="1" applyAlignment="1" applyProtection="1">
      <alignment horizontal="right" vertical="center"/>
      <protection hidden="1"/>
    </xf>
    <xf numFmtId="0" fontId="7" fillId="0" borderId="39" xfId="0" applyFont="1" applyBorder="1" applyAlignment="1" applyProtection="1">
      <alignment vertical="center"/>
      <protection hidden="1"/>
    </xf>
    <xf numFmtId="167" fontId="6" fillId="0" borderId="40" xfId="0" applyNumberFormat="1" applyFont="1" applyBorder="1" applyAlignment="1" applyProtection="1">
      <alignment horizontal="right" vertical="center"/>
      <protection hidden="1"/>
    </xf>
    <xf numFmtId="167" fontId="6" fillId="0" borderId="37" xfId="0" applyNumberFormat="1" applyFont="1" applyBorder="1" applyAlignment="1" applyProtection="1">
      <alignment horizontal="right" vertical="center"/>
      <protection hidden="1"/>
    </xf>
    <xf numFmtId="167" fontId="6" fillId="0" borderId="38" xfId="0" applyNumberFormat="1" applyFont="1" applyBorder="1" applyAlignment="1" applyProtection="1">
      <alignment horizontal="right" vertical="center"/>
      <protection hidden="1"/>
    </xf>
    <xf numFmtId="0" fontId="0" fillId="0" borderId="28" xfId="0" applyBorder="1" applyAlignment="1" applyProtection="1">
      <alignment horizontal="right" vertical="center"/>
      <protection hidden="1"/>
    </xf>
    <xf numFmtId="3" fontId="14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right"/>
      <protection hidden="1"/>
    </xf>
    <xf numFmtId="44" fontId="0" fillId="0" borderId="0" xfId="0" applyNumberFormat="1" applyProtection="1">
      <protection hidden="1"/>
    </xf>
    <xf numFmtId="0" fontId="6" fillId="0" borderId="12" xfId="0" applyFont="1" applyBorder="1" applyAlignment="1" applyProtection="1">
      <alignment horizontal="center" vertical="center" wrapText="1"/>
      <protection hidden="1"/>
    </xf>
    <xf numFmtId="166" fontId="7" fillId="0" borderId="28" xfId="0" applyNumberFormat="1" applyFont="1" applyBorder="1" applyAlignment="1">
      <alignment horizontal="center" vertical="center"/>
    </xf>
    <xf numFmtId="174" fontId="7" fillId="0" borderId="28" xfId="0" applyNumberFormat="1" applyFont="1" applyBorder="1" applyAlignment="1">
      <alignment vertical="center"/>
    </xf>
    <xf numFmtId="7" fontId="7" fillId="0" borderId="28" xfId="0" applyNumberFormat="1" applyFont="1" applyBorder="1" applyAlignment="1">
      <alignment vertical="center"/>
    </xf>
    <xf numFmtId="7" fontId="7" fillId="0" borderId="5" xfId="0" applyNumberFormat="1" applyFont="1" applyBorder="1" applyAlignment="1">
      <alignment vertical="center"/>
    </xf>
    <xf numFmtId="7" fontId="6" fillId="0" borderId="6" xfId="0" applyNumberFormat="1" applyFont="1" applyBorder="1" applyAlignment="1">
      <alignment vertical="center"/>
    </xf>
    <xf numFmtId="7" fontId="6" fillId="0" borderId="7" xfId="0" applyNumberFormat="1" applyFont="1" applyBorder="1" applyAlignment="1">
      <alignment vertical="center"/>
    </xf>
    <xf numFmtId="167" fontId="0" fillId="3" borderId="27" xfId="0" applyNumberFormat="1" applyFill="1" applyBorder="1" applyAlignment="1" applyProtection="1">
      <alignment vertical="center"/>
      <protection locked="0" hidden="1"/>
    </xf>
    <xf numFmtId="171" fontId="0" fillId="3" borderId="27" xfId="0" applyNumberFormat="1" applyFill="1" applyBorder="1" applyAlignment="1" applyProtection="1">
      <alignment vertical="center"/>
      <protection locked="0" hidden="1"/>
    </xf>
    <xf numFmtId="0" fontId="6" fillId="0" borderId="0" xfId="0" applyFont="1" applyAlignment="1" applyProtection="1">
      <alignment horizontal="center" vertical="center"/>
      <protection hidden="1"/>
    </xf>
    <xf numFmtId="0" fontId="0" fillId="0" borderId="1" xfId="0" applyBorder="1" applyProtection="1">
      <protection hidden="1"/>
    </xf>
    <xf numFmtId="0" fontId="10" fillId="0" borderId="28" xfId="1" applyBorder="1" applyAlignment="1" applyProtection="1">
      <alignment vertical="center" wrapText="1"/>
    </xf>
    <xf numFmtId="0" fontId="16" fillId="0" borderId="0" xfId="0" applyFont="1" applyProtection="1">
      <protection hidden="1"/>
    </xf>
    <xf numFmtId="49" fontId="15" fillId="0" borderId="0" xfId="0" applyNumberFormat="1" applyFont="1" applyAlignment="1" applyProtection="1">
      <alignment vertical="top" wrapText="1"/>
      <protection hidden="1"/>
    </xf>
    <xf numFmtId="0" fontId="15" fillId="0" borderId="0" xfId="0" applyFont="1" applyAlignment="1" applyProtection="1">
      <alignment vertical="top" wrapText="1"/>
      <protection hidden="1"/>
    </xf>
    <xf numFmtId="10" fontId="15" fillId="0" borderId="0" xfId="0" applyNumberFormat="1" applyFont="1" applyAlignment="1" applyProtection="1">
      <alignment vertical="top" wrapText="1"/>
      <protection hidden="1"/>
    </xf>
    <xf numFmtId="167" fontId="15" fillId="0" borderId="0" xfId="0" applyNumberFormat="1" applyFont="1" applyAlignment="1" applyProtection="1">
      <alignment vertical="top" wrapText="1"/>
      <protection hidden="1"/>
    </xf>
    <xf numFmtId="49" fontId="16" fillId="0" borderId="0" xfId="0" applyNumberFormat="1" applyFont="1" applyAlignment="1" applyProtection="1">
      <alignment vertical="top" wrapText="1"/>
      <protection hidden="1"/>
    </xf>
    <xf numFmtId="0" fontId="16" fillId="0" borderId="0" xfId="0" applyFont="1" applyAlignment="1" applyProtection="1">
      <alignment vertical="top" wrapText="1"/>
      <protection hidden="1"/>
    </xf>
    <xf numFmtId="10" fontId="16" fillId="0" borderId="0" xfId="0" applyNumberFormat="1" applyFont="1" applyAlignment="1" applyProtection="1">
      <alignment horizontal="center" vertical="top" wrapText="1"/>
      <protection hidden="1"/>
    </xf>
    <xf numFmtId="167" fontId="16" fillId="0" borderId="0" xfId="0" applyNumberFormat="1" applyFont="1" applyAlignment="1" applyProtection="1">
      <alignment horizontal="center" vertical="top" wrapText="1"/>
      <protection hidden="1"/>
    </xf>
    <xf numFmtId="0" fontId="15" fillId="0" borderId="0" xfId="0" applyFont="1" applyAlignment="1" applyProtection="1">
      <alignment horizontal="left" vertical="top" wrapText="1"/>
      <protection hidden="1"/>
    </xf>
    <xf numFmtId="49" fontId="16" fillId="0" borderId="28" xfId="0" applyNumberFormat="1" applyFont="1" applyBorder="1" applyAlignment="1" applyProtection="1">
      <alignment vertical="top" wrapText="1"/>
      <protection hidden="1"/>
    </xf>
    <xf numFmtId="0" fontId="16" fillId="0" borderId="28" xfId="0" applyFont="1" applyBorder="1" applyAlignment="1" applyProtection="1">
      <alignment vertical="top" wrapText="1"/>
      <protection hidden="1"/>
    </xf>
    <xf numFmtId="10" fontId="16" fillId="0" borderId="28" xfId="0" applyNumberFormat="1" applyFont="1" applyBorder="1" applyAlignment="1" applyProtection="1">
      <alignment vertical="top" wrapText="1"/>
      <protection hidden="1"/>
    </xf>
    <xf numFmtId="167" fontId="16" fillId="0" borderId="28" xfId="0" applyNumberFormat="1" applyFont="1" applyBorder="1" applyAlignment="1" applyProtection="1">
      <alignment vertical="top" wrapText="1"/>
      <protection hidden="1"/>
    </xf>
    <xf numFmtId="49" fontId="17" fillId="0" borderId="2" xfId="0" applyNumberFormat="1" applyFont="1" applyBorder="1" applyAlignment="1" applyProtection="1">
      <alignment vertical="top"/>
      <protection hidden="1"/>
    </xf>
    <xf numFmtId="0" fontId="15" fillId="0" borderId="39" xfId="0" applyFont="1" applyBorder="1" applyAlignment="1" applyProtection="1">
      <alignment vertical="top"/>
      <protection hidden="1"/>
    </xf>
    <xf numFmtId="167" fontId="15" fillId="0" borderId="40" xfId="0" applyNumberFormat="1" applyFont="1" applyBorder="1" applyAlignment="1" applyProtection="1">
      <alignment vertical="top"/>
      <protection hidden="1"/>
    </xf>
    <xf numFmtId="49" fontId="15" fillId="0" borderId="36" xfId="0" applyNumberFormat="1" applyFont="1" applyBorder="1" applyAlignment="1" applyProtection="1">
      <alignment vertical="top"/>
      <protection hidden="1"/>
    </xf>
    <xf numFmtId="0" fontId="15" fillId="0" borderId="0" xfId="0" applyFont="1" applyAlignment="1" applyProtection="1">
      <alignment vertical="top"/>
      <protection hidden="1"/>
    </xf>
    <xf numFmtId="49" fontId="15" fillId="0" borderId="3" xfId="0" applyNumberFormat="1" applyFont="1" applyBorder="1" applyAlignment="1" applyProtection="1">
      <alignment vertical="top"/>
      <protection hidden="1"/>
    </xf>
    <xf numFmtId="0" fontId="15" fillId="0" borderId="4" xfId="0" applyFont="1" applyBorder="1" applyAlignment="1" applyProtection="1">
      <alignment vertical="top"/>
      <protection hidden="1"/>
    </xf>
    <xf numFmtId="49" fontId="6" fillId="0" borderId="0" xfId="0" applyNumberFormat="1" applyFont="1" applyAlignment="1" applyProtection="1">
      <alignment vertical="top"/>
      <protection hidden="1"/>
    </xf>
    <xf numFmtId="49" fontId="16" fillId="0" borderId="41" xfId="0" applyNumberFormat="1" applyFont="1" applyBorder="1" applyAlignment="1" applyProtection="1">
      <alignment vertical="top" wrapText="1"/>
      <protection hidden="1"/>
    </xf>
    <xf numFmtId="0" fontId="7" fillId="0" borderId="0" xfId="0" applyFont="1" applyProtection="1">
      <protection hidden="1"/>
    </xf>
    <xf numFmtId="0" fontId="7" fillId="0" borderId="0" xfId="0" applyFont="1" applyAlignment="1" applyProtection="1">
      <alignment horizontal="left"/>
      <protection hidden="1"/>
    </xf>
    <xf numFmtId="167" fontId="16" fillId="3" borderId="28" xfId="0" applyNumberFormat="1" applyFont="1" applyFill="1" applyBorder="1" applyAlignment="1" applyProtection="1">
      <alignment vertical="top" wrapText="1"/>
      <protection locked="0" hidden="1"/>
    </xf>
    <xf numFmtId="0" fontId="9" fillId="0" borderId="39" xfId="0" applyFont="1" applyBorder="1" applyAlignment="1" applyProtection="1">
      <alignment vertical="center" wrapText="1"/>
      <protection hidden="1"/>
    </xf>
    <xf numFmtId="0" fontId="0" fillId="0" borderId="39" xfId="0" applyBorder="1" applyAlignment="1" applyProtection="1">
      <alignment vertical="center"/>
      <protection hidden="1"/>
    </xf>
    <xf numFmtId="0" fontId="0" fillId="0" borderId="4" xfId="0" applyBorder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8" fillId="0" borderId="17" xfId="0" applyFont="1" applyBorder="1" applyAlignment="1" applyProtection="1">
      <alignment vertical="center"/>
      <protection hidden="1"/>
    </xf>
    <xf numFmtId="0" fontId="9" fillId="0" borderId="18" xfId="0" applyFont="1" applyBorder="1" applyAlignment="1" applyProtection="1">
      <alignment vertical="center" wrapText="1"/>
      <protection hidden="1"/>
    </xf>
    <xf numFmtId="0" fontId="0" fillId="0" borderId="18" xfId="0" applyBorder="1" applyAlignment="1" applyProtection="1">
      <alignment vertical="center"/>
      <protection hidden="1"/>
    </xf>
    <xf numFmtId="0" fontId="9" fillId="0" borderId="18" xfId="0" applyFont="1" applyBorder="1" applyAlignment="1" applyProtection="1">
      <alignment vertical="center"/>
      <protection hidden="1"/>
    </xf>
    <xf numFmtId="0" fontId="6" fillId="0" borderId="23" xfId="3" applyFont="1" applyBorder="1" applyAlignment="1" applyProtection="1">
      <alignment horizontal="center" vertical="center" wrapText="1"/>
      <protection hidden="1"/>
    </xf>
    <xf numFmtId="0" fontId="8" fillId="0" borderId="42" xfId="0" applyFont="1" applyBorder="1" applyAlignment="1" applyProtection="1">
      <alignment vertical="center"/>
      <protection hidden="1"/>
    </xf>
    <xf numFmtId="0" fontId="8" fillId="0" borderId="43" xfId="0" applyFont="1" applyBorder="1" applyAlignment="1" applyProtection="1">
      <alignment vertical="center" wrapText="1"/>
      <protection hidden="1"/>
    </xf>
    <xf numFmtId="0" fontId="8" fillId="0" borderId="43" xfId="0" applyFont="1" applyBorder="1" applyAlignment="1" applyProtection="1">
      <alignment horizontal="center" vertical="center" wrapText="1"/>
      <protection hidden="1"/>
    </xf>
    <xf numFmtId="0" fontId="8" fillId="0" borderId="44" xfId="0" applyFont="1" applyBorder="1" applyAlignment="1" applyProtection="1">
      <alignment vertical="center" wrapText="1"/>
      <protection hidden="1"/>
    </xf>
    <xf numFmtId="0" fontId="9" fillId="0" borderId="47" xfId="0" applyFont="1" applyBorder="1" applyAlignment="1" applyProtection="1">
      <alignment horizontal="center" vertical="center"/>
      <protection hidden="1"/>
    </xf>
    <xf numFmtId="0" fontId="9" fillId="0" borderId="48" xfId="0" applyFont="1" applyBorder="1" applyAlignment="1" applyProtection="1">
      <alignment vertical="center" wrapText="1"/>
      <protection hidden="1"/>
    </xf>
    <xf numFmtId="164" fontId="9" fillId="0" borderId="48" xfId="0" applyNumberFormat="1" applyFont="1" applyBorder="1" applyAlignment="1" applyProtection="1">
      <alignment horizontal="center" vertical="center" wrapText="1"/>
      <protection hidden="1"/>
    </xf>
    <xf numFmtId="0" fontId="9" fillId="2" borderId="47" xfId="0" applyFont="1" applyFill="1" applyBorder="1" applyAlignment="1" applyProtection="1">
      <alignment horizontal="center" vertical="center"/>
      <protection hidden="1"/>
    </xf>
    <xf numFmtId="0" fontId="18" fillId="2" borderId="48" xfId="0" applyFont="1" applyFill="1" applyBorder="1" applyAlignment="1" applyProtection="1">
      <alignment vertical="center" wrapText="1"/>
      <protection hidden="1"/>
    </xf>
    <xf numFmtId="164" fontId="9" fillId="2" borderId="48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49" xfId="0" applyFont="1" applyBorder="1" applyAlignment="1" applyProtection="1">
      <alignment horizontal="center" vertical="center"/>
      <protection hidden="1"/>
    </xf>
    <xf numFmtId="0" fontId="9" fillId="0" borderId="50" xfId="0" applyFont="1" applyBorder="1" applyAlignment="1" applyProtection="1">
      <alignment vertical="center" wrapText="1"/>
      <protection hidden="1"/>
    </xf>
    <xf numFmtId="164" fontId="9" fillId="0" borderId="50" xfId="0" applyNumberFormat="1" applyFont="1" applyBorder="1" applyAlignment="1" applyProtection="1">
      <alignment horizontal="center" vertical="center" wrapText="1"/>
      <protection hidden="1"/>
    </xf>
    <xf numFmtId="171" fontId="0" fillId="3" borderId="5" xfId="0" applyNumberFormat="1" applyFill="1" applyBorder="1" applyAlignment="1" applyProtection="1">
      <alignment vertical="center" wrapText="1"/>
      <protection locked="0" hidden="1"/>
    </xf>
    <xf numFmtId="175" fontId="7" fillId="0" borderId="28" xfId="0" applyNumberFormat="1" applyFont="1" applyBorder="1" applyAlignment="1">
      <alignment vertical="center"/>
    </xf>
    <xf numFmtId="175" fontId="6" fillId="0" borderId="6" xfId="0" applyNumberFormat="1" applyFont="1" applyBorder="1" applyAlignment="1">
      <alignment vertical="center"/>
    </xf>
    <xf numFmtId="175" fontId="6" fillId="0" borderId="10" xfId="0" applyNumberFormat="1" applyFont="1" applyBorder="1" applyAlignment="1">
      <alignment vertical="center"/>
    </xf>
    <xf numFmtId="167" fontId="8" fillId="2" borderId="51" xfId="0" applyNumberFormat="1" applyFont="1" applyFill="1" applyBorder="1" applyAlignment="1" applyProtection="1">
      <alignment vertical="center"/>
      <protection hidden="1"/>
    </xf>
    <xf numFmtId="10" fontId="15" fillId="0" borderId="0" xfId="0" applyNumberFormat="1" applyFont="1" applyAlignment="1" applyProtection="1">
      <alignment vertical="top" wrapText="1"/>
      <protection locked="0" hidden="1"/>
    </xf>
    <xf numFmtId="10" fontId="10" fillId="0" borderId="28" xfId="1" applyNumberFormat="1" applyBorder="1" applyAlignment="1" applyProtection="1">
      <alignment vertical="center" wrapText="1"/>
      <protection locked="0"/>
    </xf>
    <xf numFmtId="10" fontId="10" fillId="3" borderId="28" xfId="1" applyNumberFormat="1" applyFill="1" applyBorder="1" applyAlignment="1" applyProtection="1">
      <alignment vertical="center" wrapText="1"/>
      <protection locked="0"/>
    </xf>
    <xf numFmtId="49" fontId="7" fillId="0" borderId="29" xfId="0" applyNumberFormat="1" applyFont="1" applyBorder="1" applyAlignment="1">
      <alignment horizontal="left" vertical="center" indent="1"/>
    </xf>
    <xf numFmtId="10" fontId="10" fillId="3" borderId="30" xfId="1" applyNumberFormat="1" applyFill="1" applyBorder="1" applyAlignment="1" applyProtection="1">
      <alignment vertical="center" wrapText="1"/>
      <protection locked="0"/>
    </xf>
    <xf numFmtId="49" fontId="7" fillId="0" borderId="52" xfId="0" applyNumberFormat="1" applyFont="1" applyBorder="1" applyAlignment="1">
      <alignment horizontal="left" vertical="center" indent="1"/>
    </xf>
    <xf numFmtId="0" fontId="10" fillId="0" borderId="45" xfId="1" applyBorder="1" applyAlignment="1" applyProtection="1">
      <alignment vertical="center" wrapText="1"/>
    </xf>
    <xf numFmtId="10" fontId="10" fillId="0" borderId="45" xfId="1" applyNumberFormat="1" applyBorder="1" applyAlignment="1" applyProtection="1">
      <alignment vertical="center" wrapText="1"/>
      <protection locked="0"/>
    </xf>
    <xf numFmtId="176" fontId="7" fillId="3" borderId="28" xfId="0" applyNumberFormat="1" applyFont="1" applyFill="1" applyBorder="1" applyAlignment="1" applyProtection="1">
      <alignment vertical="center"/>
      <protection locked="0"/>
    </xf>
    <xf numFmtId="176" fontId="7" fillId="0" borderId="28" xfId="0" applyNumberFormat="1" applyFont="1" applyBorder="1" applyAlignment="1">
      <alignment vertical="center"/>
    </xf>
    <xf numFmtId="176" fontId="7" fillId="0" borderId="5" xfId="0" applyNumberFormat="1" applyFont="1" applyBorder="1" applyAlignment="1">
      <alignment vertical="center"/>
    </xf>
    <xf numFmtId="176" fontId="7" fillId="0" borderId="28" xfId="0" applyNumberFormat="1" applyFont="1" applyBorder="1" applyAlignment="1" applyProtection="1">
      <alignment vertical="center"/>
      <protection locked="0"/>
    </xf>
    <xf numFmtId="176" fontId="7" fillId="3" borderId="45" xfId="0" applyNumberFormat="1" applyFont="1" applyFill="1" applyBorder="1" applyAlignment="1" applyProtection="1">
      <alignment vertical="center"/>
      <protection locked="0"/>
    </xf>
    <xf numFmtId="176" fontId="7" fillId="0" borderId="45" xfId="0" applyNumberFormat="1" applyFont="1" applyBorder="1" applyAlignment="1">
      <alignment vertical="center"/>
    </xf>
    <xf numFmtId="176" fontId="7" fillId="0" borderId="46" xfId="0" applyNumberFormat="1" applyFont="1" applyBorder="1" applyAlignment="1">
      <alignment vertical="center"/>
    </xf>
    <xf numFmtId="176" fontId="7" fillId="0" borderId="30" xfId="0" applyNumberFormat="1" applyFont="1" applyBorder="1" applyAlignment="1" applyProtection="1">
      <alignment vertical="center"/>
      <protection locked="0"/>
    </xf>
    <xf numFmtId="176" fontId="7" fillId="0" borderId="30" xfId="0" applyNumberFormat="1" applyFont="1" applyBorder="1" applyAlignment="1">
      <alignment vertical="center"/>
    </xf>
    <xf numFmtId="176" fontId="7" fillId="0" borderId="31" xfId="0" applyNumberFormat="1" applyFont="1" applyBorder="1" applyAlignment="1">
      <alignment vertical="center"/>
    </xf>
    <xf numFmtId="0" fontId="6" fillId="0" borderId="35" xfId="0" applyFont="1" applyBorder="1" applyAlignment="1">
      <alignment horizontal="center" vertical="center" wrapText="1"/>
    </xf>
    <xf numFmtId="167" fontId="16" fillId="0" borderId="0" xfId="0" applyNumberFormat="1" applyFont="1" applyAlignment="1" applyProtection="1">
      <alignment vertical="top" wrapText="1"/>
      <protection hidden="1"/>
    </xf>
    <xf numFmtId="10" fontId="15" fillId="0" borderId="2" xfId="0" applyNumberFormat="1" applyFont="1" applyBorder="1" applyAlignment="1" applyProtection="1">
      <alignment vertical="top"/>
      <protection hidden="1"/>
    </xf>
    <xf numFmtId="167" fontId="16" fillId="0" borderId="53" xfId="0" applyNumberFormat="1" applyFont="1" applyBorder="1" applyAlignment="1" applyProtection="1">
      <alignment vertical="top" wrapText="1"/>
      <protection hidden="1"/>
    </xf>
    <xf numFmtId="0" fontId="16" fillId="0" borderId="53" xfId="0" applyFont="1" applyBorder="1" applyAlignment="1" applyProtection="1">
      <alignment vertical="top" wrapText="1"/>
      <protection hidden="1"/>
    </xf>
    <xf numFmtId="10" fontId="16" fillId="0" borderId="36" xfId="0" applyNumberFormat="1" applyFont="1" applyBorder="1" applyAlignment="1" applyProtection="1">
      <alignment vertical="top" wrapText="1"/>
      <protection hidden="1"/>
    </xf>
    <xf numFmtId="0" fontId="0" fillId="0" borderId="28" xfId="0" applyBorder="1" applyAlignment="1" applyProtection="1">
      <alignment horizontal="center" vertical="center"/>
      <protection hidden="1"/>
    </xf>
    <xf numFmtId="164" fontId="0" fillId="0" borderId="28" xfId="0" applyNumberFormat="1" applyBorder="1" applyAlignment="1" applyProtection="1">
      <alignment horizontal="center" vertical="center"/>
      <protection hidden="1"/>
    </xf>
    <xf numFmtId="171" fontId="0" fillId="3" borderId="28" xfId="0" applyNumberFormat="1" applyFill="1" applyBorder="1" applyAlignment="1" applyProtection="1">
      <alignment vertical="center"/>
      <protection locked="0" hidden="1"/>
    </xf>
    <xf numFmtId="167" fontId="0" fillId="3" borderId="28" xfId="0" applyNumberFormat="1" applyFill="1" applyBorder="1" applyAlignment="1" applyProtection="1">
      <alignment vertical="center"/>
      <protection locked="0" hidden="1"/>
    </xf>
    <xf numFmtId="0" fontId="6" fillId="0" borderId="0" xfId="0" applyFont="1" applyProtection="1">
      <protection hidden="1"/>
    </xf>
    <xf numFmtId="0" fontId="6" fillId="0" borderId="57" xfId="0" applyFont="1" applyBorder="1" applyAlignment="1">
      <alignment horizontal="justify" vertical="center"/>
    </xf>
    <xf numFmtId="0" fontId="6" fillId="0" borderId="58" xfId="0" applyFont="1" applyBorder="1" applyAlignment="1">
      <alignment horizontal="justify" vertical="center"/>
    </xf>
    <xf numFmtId="0" fontId="10" fillId="0" borderId="48" xfId="3" applyBorder="1" applyAlignment="1" applyProtection="1">
      <alignment vertical="center" wrapText="1"/>
    </xf>
    <xf numFmtId="0" fontId="10" fillId="0" borderId="56" xfId="3" applyBorder="1" applyAlignment="1" applyProtection="1">
      <alignment vertical="center" wrapText="1"/>
    </xf>
    <xf numFmtId="0" fontId="6" fillId="0" borderId="59" xfId="0" applyFont="1" applyBorder="1" applyAlignment="1">
      <alignment horizontal="justify" vertical="center"/>
    </xf>
    <xf numFmtId="0" fontId="18" fillId="0" borderId="0" xfId="4" applyFont="1"/>
    <xf numFmtId="0" fontId="9" fillId="0" borderId="0" xfId="4"/>
    <xf numFmtId="0" fontId="8" fillId="0" borderId="24" xfId="4" applyFont="1" applyBorder="1" applyAlignment="1">
      <alignment horizontal="center" vertical="center"/>
    </xf>
    <xf numFmtId="0" fontId="8" fillId="0" borderId="25" xfId="4" applyFont="1" applyBorder="1" applyAlignment="1">
      <alignment vertical="center"/>
    </xf>
    <xf numFmtId="0" fontId="8" fillId="0" borderId="60" xfId="4" applyFont="1" applyBorder="1" applyAlignment="1">
      <alignment vertical="center"/>
    </xf>
    <xf numFmtId="0" fontId="8" fillId="0" borderId="61" xfId="4" applyFont="1" applyBorder="1" applyAlignment="1">
      <alignment vertical="center"/>
    </xf>
    <xf numFmtId="0" fontId="8" fillId="0" borderId="52" xfId="4" applyFont="1" applyBorder="1" applyAlignment="1">
      <alignment vertical="center"/>
    </xf>
    <xf numFmtId="1" fontId="9" fillId="0" borderId="63" xfId="4" applyNumberFormat="1" applyBorder="1" applyAlignment="1">
      <alignment vertical="center"/>
    </xf>
    <xf numFmtId="0" fontId="8" fillId="0" borderId="8" xfId="4" applyFont="1" applyBorder="1" applyAlignment="1">
      <alignment vertical="center"/>
    </xf>
    <xf numFmtId="1" fontId="9" fillId="0" borderId="64" xfId="4" applyNumberFormat="1" applyBorder="1" applyAlignment="1">
      <alignment vertical="center"/>
    </xf>
    <xf numFmtId="0" fontId="8" fillId="0" borderId="65" xfId="4" applyFont="1" applyBorder="1" applyAlignment="1">
      <alignment vertical="center"/>
    </xf>
    <xf numFmtId="1" fontId="9" fillId="0" borderId="68" xfId="4" applyNumberFormat="1" applyBorder="1" applyAlignment="1">
      <alignment vertical="center"/>
    </xf>
    <xf numFmtId="0" fontId="8" fillId="0" borderId="69" xfId="4" applyFont="1" applyBorder="1" applyAlignment="1">
      <alignment vertical="center"/>
    </xf>
    <xf numFmtId="1" fontId="8" fillId="0" borderId="33" xfId="4" applyNumberFormat="1" applyFont="1" applyBorder="1" applyAlignment="1">
      <alignment vertical="center"/>
    </xf>
    <xf numFmtId="1" fontId="8" fillId="0" borderId="70" xfId="4" applyNumberFormat="1" applyFont="1" applyBorder="1" applyAlignment="1">
      <alignment vertical="center"/>
    </xf>
    <xf numFmtId="1" fontId="8" fillId="0" borderId="53" xfId="4" applyNumberFormat="1" applyFont="1" applyBorder="1" applyAlignment="1">
      <alignment vertical="center"/>
    </xf>
    <xf numFmtId="0" fontId="9" fillId="4" borderId="2" xfId="4" applyFill="1" applyBorder="1"/>
    <xf numFmtId="0" fontId="20" fillId="0" borderId="3" xfId="4" applyFont="1" applyBorder="1"/>
    <xf numFmtId="0" fontId="9" fillId="0" borderId="4" xfId="4" applyBorder="1"/>
    <xf numFmtId="0" fontId="9" fillId="0" borderId="38" xfId="4" applyBorder="1"/>
    <xf numFmtId="0" fontId="6" fillId="0" borderId="36" xfId="0" applyFont="1" applyBorder="1" applyAlignment="1" applyProtection="1">
      <alignment vertical="center"/>
      <protection locked="0" hidden="1"/>
    </xf>
    <xf numFmtId="0" fontId="6" fillId="0" borderId="3" xfId="0" applyFont="1" applyBorder="1" applyAlignment="1" applyProtection="1">
      <alignment vertical="center"/>
      <protection locked="0" hidden="1"/>
    </xf>
    <xf numFmtId="0" fontId="6" fillId="0" borderId="2" xfId="0" applyFont="1" applyBorder="1" applyAlignment="1" applyProtection="1">
      <alignment vertical="center"/>
      <protection locked="0" hidden="1"/>
    </xf>
    <xf numFmtId="0" fontId="9" fillId="0" borderId="39" xfId="4" applyBorder="1"/>
    <xf numFmtId="0" fontId="9" fillId="0" borderId="40" xfId="4" applyBorder="1"/>
    <xf numFmtId="14" fontId="8" fillId="5" borderId="53" xfId="0" applyNumberFormat="1" applyFont="1" applyFill="1" applyBorder="1" applyAlignment="1" applyProtection="1">
      <alignment horizontal="left" vertical="center"/>
      <protection locked="0"/>
    </xf>
    <xf numFmtId="14" fontId="0" fillId="0" borderId="0" xfId="0" applyNumberFormat="1"/>
    <xf numFmtId="0" fontId="22" fillId="0" borderId="0" xfId="0" applyFont="1" applyProtection="1">
      <protection hidden="1"/>
    </xf>
    <xf numFmtId="0" fontId="23" fillId="0" borderId="0" xfId="0" applyFont="1" applyProtection="1">
      <protection hidden="1"/>
    </xf>
    <xf numFmtId="0" fontId="2" fillId="0" borderId="39" xfId="4" applyFont="1" applyBorder="1"/>
    <xf numFmtId="0" fontId="2" fillId="0" borderId="48" xfId="0" applyFont="1" applyBorder="1" applyAlignment="1" applyProtection="1">
      <alignment vertical="center" wrapText="1"/>
      <protection hidden="1"/>
    </xf>
    <xf numFmtId="14" fontId="8" fillId="0" borderId="53" xfId="0" applyNumberFormat="1" applyFont="1" applyBorder="1" applyAlignment="1" applyProtection="1">
      <alignment horizontal="left" vertical="center"/>
      <protection hidden="1"/>
    </xf>
    <xf numFmtId="0" fontId="2" fillId="0" borderId="0" xfId="4" applyFont="1"/>
    <xf numFmtId="0" fontId="7" fillId="0" borderId="28" xfId="1" applyFont="1" applyBorder="1" applyAlignment="1" applyProtection="1">
      <alignment vertical="center" wrapText="1"/>
    </xf>
    <xf numFmtId="0" fontId="7" fillId="0" borderId="30" xfId="1" applyFont="1" applyBorder="1" applyAlignment="1" applyProtection="1">
      <alignment vertical="center" wrapText="1"/>
    </xf>
    <xf numFmtId="1" fontId="9" fillId="0" borderId="45" xfId="4" applyNumberFormat="1" applyBorder="1" applyAlignment="1">
      <alignment vertical="center"/>
    </xf>
    <xf numFmtId="1" fontId="9" fillId="0" borderId="62" xfId="4" applyNumberFormat="1" applyBorder="1" applyAlignment="1">
      <alignment vertical="center"/>
    </xf>
    <xf numFmtId="1" fontId="9" fillId="0" borderId="28" xfId="4" applyNumberFormat="1" applyBorder="1" applyAlignment="1">
      <alignment vertical="center"/>
    </xf>
    <xf numFmtId="1" fontId="9" fillId="0" borderId="55" xfId="4" applyNumberFormat="1" applyBorder="1" applyAlignment="1">
      <alignment vertical="center"/>
    </xf>
    <xf numFmtId="1" fontId="9" fillId="0" borderId="66" xfId="4" applyNumberFormat="1" applyBorder="1" applyAlignment="1">
      <alignment vertical="center"/>
    </xf>
    <xf numFmtId="1" fontId="9" fillId="0" borderId="67" xfId="4" applyNumberFormat="1" applyBorder="1" applyAlignment="1">
      <alignment vertical="center"/>
    </xf>
    <xf numFmtId="0" fontId="18" fillId="0" borderId="28" xfId="0" applyFont="1" applyBorder="1" applyAlignment="1" applyProtection="1">
      <alignment vertical="center"/>
      <protection hidden="1"/>
    </xf>
    <xf numFmtId="171" fontId="0" fillId="0" borderId="28" xfId="0" applyNumberFormat="1" applyBorder="1" applyAlignment="1" applyProtection="1">
      <alignment vertical="center"/>
      <protection locked="0" hidden="1"/>
    </xf>
    <xf numFmtId="167" fontId="0" fillId="0" borderId="28" xfId="0" applyNumberFormat="1" applyBorder="1" applyAlignment="1" applyProtection="1">
      <alignment vertical="center"/>
      <protection locked="0" hidden="1"/>
    </xf>
    <xf numFmtId="0" fontId="8" fillId="2" borderId="73" xfId="0" applyFont="1" applyFill="1" applyBorder="1" applyAlignment="1" applyProtection="1">
      <alignment horizontal="center" vertical="top"/>
      <protection hidden="1"/>
    </xf>
    <xf numFmtId="0" fontId="8" fillId="2" borderId="74" xfId="0" applyFont="1" applyFill="1" applyBorder="1" applyAlignment="1" applyProtection="1">
      <alignment horizontal="center" vertical="top" wrapText="1"/>
      <protection locked="0" hidden="1"/>
    </xf>
    <xf numFmtId="0" fontId="11" fillId="0" borderId="61" xfId="0" applyFont="1" applyBorder="1" applyProtection="1">
      <protection hidden="1"/>
    </xf>
    <xf numFmtId="0" fontId="2" fillId="0" borderId="27" xfId="0" applyFont="1" applyBorder="1" applyAlignment="1" applyProtection="1">
      <alignment horizontal="center" vertical="center"/>
      <protection hidden="1"/>
    </xf>
    <xf numFmtId="0" fontId="2" fillId="0" borderId="28" xfId="0" applyFont="1" applyBorder="1" applyAlignment="1" applyProtection="1">
      <alignment vertical="center"/>
      <protection hidden="1"/>
    </xf>
    <xf numFmtId="0" fontId="2" fillId="0" borderId="28" xfId="0" applyFont="1" applyBorder="1" applyAlignment="1" applyProtection="1">
      <alignment horizontal="center" vertical="center"/>
      <protection hidden="1"/>
    </xf>
    <xf numFmtId="168" fontId="0" fillId="0" borderId="64" xfId="0" applyNumberFormat="1" applyBorder="1" applyAlignment="1" applyProtection="1">
      <alignment vertical="center"/>
      <protection hidden="1"/>
    </xf>
    <xf numFmtId="168" fontId="0" fillId="0" borderId="75" xfId="0" applyNumberFormat="1" applyBorder="1" applyAlignment="1" applyProtection="1">
      <alignment vertical="center"/>
      <protection hidden="1"/>
    </xf>
    <xf numFmtId="171" fontId="0" fillId="2" borderId="5" xfId="0" applyNumberFormat="1" applyFill="1" applyBorder="1" applyAlignment="1" applyProtection="1">
      <alignment vertical="center" wrapText="1"/>
      <protection hidden="1"/>
    </xf>
    <xf numFmtId="0" fontId="2" fillId="0" borderId="47" xfId="0" applyFont="1" applyBorder="1" applyAlignment="1" applyProtection="1">
      <alignment horizontal="center" vertical="center"/>
      <protection hidden="1"/>
    </xf>
    <xf numFmtId="171" fontId="0" fillId="2" borderId="5" xfId="0" applyNumberFormat="1" applyFill="1" applyBorder="1" applyAlignment="1" applyProtection="1">
      <alignment vertical="center" wrapText="1"/>
      <protection locked="0" hidden="1"/>
    </xf>
    <xf numFmtId="0" fontId="7" fillId="0" borderId="48" xfId="3" applyFont="1" applyBorder="1" applyAlignment="1" applyProtection="1">
      <alignment vertical="center" wrapText="1"/>
    </xf>
    <xf numFmtId="0" fontId="7" fillId="0" borderId="76" xfId="3" applyFont="1" applyBorder="1" applyAlignment="1" applyProtection="1">
      <alignment vertical="center" wrapText="1"/>
    </xf>
    <xf numFmtId="0" fontId="7" fillId="0" borderId="77" xfId="3" applyFont="1" applyBorder="1" applyAlignment="1" applyProtection="1">
      <alignment vertical="center" wrapText="1"/>
    </xf>
    <xf numFmtId="0" fontId="10" fillId="0" borderId="55" xfId="3" applyFill="1" applyBorder="1" applyAlignment="1" applyProtection="1">
      <alignment vertical="center"/>
    </xf>
    <xf numFmtId="0" fontId="10" fillId="0" borderId="67" xfId="3" applyFill="1" applyBorder="1" applyAlignment="1" applyProtection="1">
      <alignment vertical="center"/>
    </xf>
    <xf numFmtId="49" fontId="0" fillId="0" borderId="28" xfId="0" applyNumberFormat="1" applyBorder="1" applyAlignment="1" applyProtection="1">
      <alignment horizontal="right" vertical="center"/>
      <protection hidden="1"/>
    </xf>
    <xf numFmtId="172" fontId="2" fillId="3" borderId="28" xfId="8" applyNumberFormat="1" applyFill="1" applyBorder="1" applyAlignment="1" applyProtection="1">
      <alignment vertical="center"/>
      <protection locked="0"/>
    </xf>
    <xf numFmtId="172" fontId="0" fillId="0" borderId="28" xfId="0" applyNumberFormat="1" applyBorder="1" applyAlignment="1" applyProtection="1">
      <alignment vertical="center"/>
      <protection locked="0"/>
    </xf>
    <xf numFmtId="0" fontId="8" fillId="0" borderId="28" xfId="0" applyFont="1" applyBorder="1" applyAlignment="1" applyProtection="1">
      <alignment vertical="center"/>
      <protection hidden="1"/>
    </xf>
    <xf numFmtId="0" fontId="10" fillId="0" borderId="76" xfId="3" applyBorder="1" applyAlignment="1" applyProtection="1">
      <alignment vertical="center" wrapText="1"/>
    </xf>
    <xf numFmtId="0" fontId="10" fillId="0" borderId="78" xfId="3" applyBorder="1" applyAlignment="1" applyProtection="1">
      <alignment vertical="center" wrapText="1"/>
    </xf>
    <xf numFmtId="7" fontId="7" fillId="0" borderId="45" xfId="0" applyNumberFormat="1" applyFont="1" applyBorder="1" applyAlignment="1">
      <alignment vertical="center"/>
    </xf>
    <xf numFmtId="7" fontId="7" fillId="0" borderId="46" xfId="0" applyNumberFormat="1" applyFont="1" applyBorder="1" applyAlignment="1">
      <alignment vertical="center"/>
    </xf>
    <xf numFmtId="0" fontId="10" fillId="0" borderId="48" xfId="3" applyFill="1" applyBorder="1" applyAlignment="1" applyProtection="1">
      <alignment vertical="center"/>
    </xf>
    <xf numFmtId="0" fontId="10" fillId="0" borderId="76" xfId="3" applyFill="1" applyBorder="1" applyAlignment="1" applyProtection="1">
      <alignment vertical="center"/>
    </xf>
    <xf numFmtId="168" fontId="2" fillId="0" borderId="28" xfId="0" applyNumberFormat="1" applyFont="1" applyBorder="1" applyAlignment="1" applyProtection="1">
      <alignment vertical="center"/>
      <protection hidden="1"/>
    </xf>
    <xf numFmtId="4" fontId="7" fillId="0" borderId="80" xfId="0" applyNumberFormat="1" applyFont="1" applyBorder="1" applyAlignment="1">
      <alignment vertical="center"/>
    </xf>
    <xf numFmtId="175" fontId="7" fillId="0" borderId="81" xfId="0" applyNumberFormat="1" applyFont="1" applyBorder="1" applyAlignment="1">
      <alignment vertical="center"/>
    </xf>
    <xf numFmtId="10" fontId="21" fillId="0" borderId="0" xfId="0" applyNumberFormat="1" applyFont="1" applyAlignment="1" applyProtection="1">
      <alignment horizontal="right" vertical="top" wrapText="1"/>
      <protection hidden="1"/>
    </xf>
    <xf numFmtId="0" fontId="2" fillId="0" borderId="84" xfId="0" applyFont="1" applyBorder="1" applyAlignment="1" applyProtection="1">
      <alignment horizontal="center" vertical="center"/>
      <protection hidden="1"/>
    </xf>
    <xf numFmtId="0" fontId="2" fillId="0" borderId="85" xfId="0" applyFont="1" applyBorder="1" applyAlignment="1" applyProtection="1">
      <alignment vertical="center" wrapText="1"/>
      <protection hidden="1"/>
    </xf>
    <xf numFmtId="164" fontId="9" fillId="0" borderId="85" xfId="0" applyNumberFormat="1" applyFont="1" applyBorder="1" applyAlignment="1" applyProtection="1">
      <alignment horizontal="center" vertical="center" wrapText="1"/>
      <protection hidden="1"/>
    </xf>
    <xf numFmtId="171" fontId="0" fillId="3" borderId="86" xfId="0" applyNumberFormat="1" applyFill="1" applyBorder="1" applyAlignment="1" applyProtection="1">
      <alignment vertical="center" wrapText="1"/>
      <protection locked="0" hidden="1"/>
    </xf>
    <xf numFmtId="0" fontId="26" fillId="0" borderId="18" xfId="0" applyFont="1" applyBorder="1" applyAlignment="1" applyProtection="1">
      <alignment vertical="center" wrapText="1"/>
      <protection hidden="1"/>
    </xf>
    <xf numFmtId="2" fontId="25" fillId="0" borderId="41" xfId="0" applyNumberFormat="1" applyFont="1" applyBorder="1" applyAlignment="1" applyProtection="1">
      <alignment vertical="top" wrapText="1"/>
      <protection hidden="1"/>
    </xf>
    <xf numFmtId="164" fontId="20" fillId="0" borderId="28" xfId="0" applyNumberFormat="1" applyFont="1" applyBorder="1" applyAlignment="1" applyProtection="1">
      <alignment horizontal="center" vertical="center"/>
      <protection hidden="1"/>
    </xf>
    <xf numFmtId="168" fontId="27" fillId="0" borderId="37" xfId="0" applyNumberFormat="1" applyFont="1" applyBorder="1" applyAlignment="1" applyProtection="1">
      <alignment horizontal="right" vertical="center"/>
      <protection hidden="1"/>
    </xf>
    <xf numFmtId="0" fontId="2" fillId="0" borderId="28" xfId="0" applyFont="1" applyBorder="1" applyAlignment="1" applyProtection="1">
      <alignment horizontal="right" vertical="center"/>
      <protection hidden="1"/>
    </xf>
    <xf numFmtId="167" fontId="16" fillId="3" borderId="28" xfId="0" applyNumberFormat="1" applyFont="1" applyFill="1" applyBorder="1" applyAlignment="1" applyProtection="1">
      <alignment vertical="top" wrapText="1"/>
      <protection locked="0"/>
    </xf>
    <xf numFmtId="10" fontId="15" fillId="3" borderId="0" xfId="0" applyNumberFormat="1" applyFont="1" applyFill="1" applyAlignment="1" applyProtection="1">
      <alignment vertical="top" wrapText="1"/>
      <protection locked="0"/>
    </xf>
    <xf numFmtId="10" fontId="4" fillId="0" borderId="0" xfId="0" applyNumberFormat="1" applyFont="1" applyProtection="1">
      <protection hidden="1"/>
    </xf>
    <xf numFmtId="10" fontId="28" fillId="0" borderId="0" xfId="0" applyNumberFormat="1" applyFont="1" applyAlignment="1" applyProtection="1">
      <alignment vertical="top" wrapText="1"/>
      <protection hidden="1"/>
    </xf>
    <xf numFmtId="0" fontId="20" fillId="0" borderId="0" xfId="0" applyFont="1" applyAlignment="1">
      <alignment vertical="center"/>
    </xf>
    <xf numFmtId="14" fontId="26" fillId="0" borderId="2" xfId="0" applyNumberFormat="1" applyFont="1" applyBorder="1" applyAlignment="1" applyProtection="1">
      <alignment vertical="center"/>
      <protection hidden="1"/>
    </xf>
    <xf numFmtId="171" fontId="0" fillId="0" borderId="88" xfId="0" applyNumberFormat="1" applyBorder="1" applyAlignment="1" applyProtection="1">
      <alignment vertical="center" wrapText="1"/>
      <protection hidden="1"/>
    </xf>
    <xf numFmtId="171" fontId="0" fillId="0" borderId="87" xfId="0" applyNumberFormat="1" applyBorder="1" applyAlignment="1" applyProtection="1">
      <alignment vertical="center" wrapText="1"/>
      <protection hidden="1"/>
    </xf>
    <xf numFmtId="9" fontId="26" fillId="0" borderId="0" xfId="0" applyNumberFormat="1" applyFont="1" applyProtection="1">
      <protection hidden="1"/>
    </xf>
    <xf numFmtId="49" fontId="8" fillId="5" borderId="17" xfId="0" applyNumberFormat="1" applyFont="1" applyFill="1" applyBorder="1" applyAlignment="1" applyProtection="1">
      <alignment vertical="center"/>
      <protection locked="0"/>
    </xf>
    <xf numFmtId="49" fontId="8" fillId="5" borderId="18" xfId="0" applyNumberFormat="1" applyFont="1" applyFill="1" applyBorder="1" applyAlignment="1" applyProtection="1">
      <alignment vertical="center"/>
      <protection locked="0"/>
    </xf>
    <xf numFmtId="49" fontId="8" fillId="5" borderId="19" xfId="0" applyNumberFormat="1" applyFont="1" applyFill="1" applyBorder="1" applyAlignment="1" applyProtection="1">
      <alignment vertical="center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7" fillId="3" borderId="17" xfId="0" applyFont="1" applyFill="1" applyBorder="1" applyAlignment="1" applyProtection="1">
      <alignment horizontal="left" vertical="center"/>
      <protection locked="0" hidden="1"/>
    </xf>
    <xf numFmtId="0" fontId="7" fillId="3" borderId="18" xfId="0" applyFont="1" applyFill="1" applyBorder="1" applyAlignment="1" applyProtection="1">
      <alignment horizontal="left" vertical="center"/>
      <protection locked="0" hidden="1"/>
    </xf>
    <xf numFmtId="0" fontId="7" fillId="3" borderId="19" xfId="0" applyFont="1" applyFill="1" applyBorder="1" applyAlignment="1" applyProtection="1">
      <alignment horizontal="left" vertical="center"/>
      <protection locked="0" hidden="1"/>
    </xf>
    <xf numFmtId="0" fontId="6" fillId="0" borderId="17" xfId="0" applyFont="1" applyBorder="1" applyAlignment="1" applyProtection="1">
      <alignment horizontal="center" vertical="center"/>
      <protection hidden="1"/>
    </xf>
    <xf numFmtId="0" fontId="6" fillId="0" borderId="18" xfId="0" applyFont="1" applyBorder="1" applyAlignment="1" applyProtection="1">
      <alignment horizontal="center" vertical="center"/>
      <protection hidden="1"/>
    </xf>
    <xf numFmtId="0" fontId="6" fillId="0" borderId="19" xfId="0" applyFont="1" applyBorder="1" applyAlignment="1" applyProtection="1">
      <alignment horizontal="center" vertical="center"/>
      <protection hidden="1"/>
    </xf>
    <xf numFmtId="49" fontId="7" fillId="0" borderId="79" xfId="0" applyNumberFormat="1" applyFont="1" applyBorder="1" applyAlignment="1">
      <alignment horizontal="left" vertical="center"/>
    </xf>
    <xf numFmtId="49" fontId="7" fillId="0" borderId="45" xfId="0" applyNumberFormat="1" applyFont="1" applyBorder="1" applyAlignment="1">
      <alignment horizontal="left" vertical="center"/>
    </xf>
    <xf numFmtId="49" fontId="7" fillId="0" borderId="8" xfId="0" applyNumberFormat="1" applyFont="1" applyBorder="1" applyAlignment="1">
      <alignment horizontal="left" vertical="center"/>
    </xf>
    <xf numFmtId="49" fontId="7" fillId="0" borderId="65" xfId="0" applyNumberFormat="1" applyFont="1" applyBorder="1" applyAlignment="1">
      <alignment horizontal="left" vertical="center"/>
    </xf>
    <xf numFmtId="49" fontId="7" fillId="0" borderId="72" xfId="0" applyNumberFormat="1" applyFont="1" applyBorder="1" applyAlignment="1">
      <alignment horizontal="left" vertical="center" indent="1"/>
    </xf>
    <xf numFmtId="49" fontId="7" fillId="0" borderId="71" xfId="0" applyNumberFormat="1" applyFont="1" applyBorder="1" applyAlignment="1">
      <alignment horizontal="left" vertical="center" indent="1"/>
    </xf>
    <xf numFmtId="0" fontId="7" fillId="0" borderId="17" xfId="0" applyFont="1" applyBorder="1" applyAlignment="1" applyProtection="1">
      <alignment horizontal="center"/>
      <protection locked="0" hidden="1"/>
    </xf>
    <xf numFmtId="0" fontId="7" fillId="0" borderId="18" xfId="0" applyFont="1" applyBorder="1" applyAlignment="1" applyProtection="1">
      <alignment horizontal="center"/>
      <protection locked="0" hidden="1"/>
    </xf>
    <xf numFmtId="0" fontId="7" fillId="0" borderId="19" xfId="0" applyFont="1" applyBorder="1" applyAlignment="1" applyProtection="1">
      <alignment horizontal="center"/>
      <protection locked="0" hidden="1"/>
    </xf>
    <xf numFmtId="49" fontId="8" fillId="0" borderId="17" xfId="0" applyNumberFormat="1" applyFont="1" applyBorder="1" applyAlignment="1" applyProtection="1">
      <alignment vertical="center"/>
      <protection locked="0"/>
    </xf>
    <xf numFmtId="0" fontId="8" fillId="0" borderId="18" xfId="0" applyFont="1" applyBorder="1" applyAlignment="1" applyProtection="1">
      <alignment vertical="center"/>
      <protection locked="0"/>
    </xf>
    <xf numFmtId="0" fontId="8" fillId="0" borderId="19" xfId="0" applyFont="1" applyBorder="1" applyAlignment="1" applyProtection="1">
      <alignment vertical="center"/>
      <protection locked="0"/>
    </xf>
    <xf numFmtId="10" fontId="15" fillId="0" borderId="36" xfId="0" applyNumberFormat="1" applyFont="1" applyBorder="1" applyAlignment="1" applyProtection="1">
      <alignment horizontal="center" vertical="top" wrapText="1"/>
      <protection hidden="1"/>
    </xf>
    <xf numFmtId="10" fontId="15" fillId="0" borderId="37" xfId="0" applyNumberFormat="1" applyFont="1" applyBorder="1" applyAlignment="1" applyProtection="1">
      <alignment horizontal="center" vertical="top" wrapText="1"/>
      <protection hidden="1"/>
    </xf>
    <xf numFmtId="10" fontId="15" fillId="0" borderId="3" xfId="0" applyNumberFormat="1" applyFont="1" applyBorder="1" applyAlignment="1" applyProtection="1">
      <alignment horizontal="center" vertical="top" wrapText="1"/>
      <protection hidden="1"/>
    </xf>
    <xf numFmtId="10" fontId="15" fillId="0" borderId="38" xfId="0" applyNumberFormat="1" applyFont="1" applyBorder="1" applyAlignment="1" applyProtection="1">
      <alignment horizontal="center" vertical="top" wrapText="1"/>
      <protection hidden="1"/>
    </xf>
    <xf numFmtId="0" fontId="16" fillId="0" borderId="17" xfId="0" applyFont="1" applyBorder="1" applyAlignment="1" applyProtection="1">
      <alignment horizontal="center" vertical="top" wrapText="1"/>
      <protection hidden="1"/>
    </xf>
    <xf numFmtId="0" fontId="16" fillId="0" borderId="18" xfId="0" applyFont="1" applyBorder="1" applyAlignment="1" applyProtection="1">
      <alignment horizontal="center" vertical="top" wrapText="1"/>
      <protection hidden="1"/>
    </xf>
    <xf numFmtId="0" fontId="16" fillId="0" borderId="19" xfId="0" applyFont="1" applyBorder="1" applyAlignment="1" applyProtection="1">
      <alignment horizontal="center" vertical="top" wrapText="1"/>
      <protection hidden="1"/>
    </xf>
    <xf numFmtId="0" fontId="7" fillId="0" borderId="17" xfId="0" applyFont="1" applyBorder="1" applyAlignment="1" applyProtection="1">
      <alignment horizontal="center" vertical="top" wrapText="1"/>
      <protection hidden="1"/>
    </xf>
    <xf numFmtId="0" fontId="7" fillId="0" borderId="19" xfId="0" applyFont="1" applyBorder="1" applyAlignment="1" applyProtection="1">
      <alignment horizontal="center" vertical="top" wrapText="1"/>
      <protection hidden="1"/>
    </xf>
    <xf numFmtId="0" fontId="8" fillId="0" borderId="39" xfId="0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 wrapText="1"/>
      <protection hidden="1"/>
    </xf>
    <xf numFmtId="0" fontId="8" fillId="5" borderId="2" xfId="0" applyFont="1" applyFill="1" applyBorder="1" applyAlignment="1" applyProtection="1">
      <alignment horizontal="center" vertical="center" wrapText="1"/>
      <protection hidden="1"/>
    </xf>
    <xf numFmtId="0" fontId="8" fillId="5" borderId="39" xfId="0" applyFont="1" applyFill="1" applyBorder="1" applyAlignment="1" applyProtection="1">
      <alignment horizontal="center" vertical="center" wrapText="1"/>
      <protection hidden="1"/>
    </xf>
    <xf numFmtId="0" fontId="8" fillId="5" borderId="40" xfId="0" applyFont="1" applyFill="1" applyBorder="1" applyAlignment="1" applyProtection="1">
      <alignment horizontal="center" vertical="center" wrapText="1"/>
      <protection hidden="1"/>
    </xf>
    <xf numFmtId="0" fontId="8" fillId="5" borderId="3" xfId="0" applyFont="1" applyFill="1" applyBorder="1" applyAlignment="1" applyProtection="1">
      <alignment horizontal="center" vertical="center" wrapText="1"/>
      <protection hidden="1"/>
    </xf>
    <xf numFmtId="0" fontId="8" fillId="5" borderId="4" xfId="0" applyFont="1" applyFill="1" applyBorder="1" applyAlignment="1" applyProtection="1">
      <alignment horizontal="center" vertical="center" wrapText="1"/>
      <protection hidden="1"/>
    </xf>
    <xf numFmtId="0" fontId="8" fillId="5" borderId="38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vertical="center"/>
      <protection locked="0" hidden="1"/>
    </xf>
    <xf numFmtId="0" fontId="7" fillId="0" borderId="37" xfId="0" applyFont="1" applyBorder="1" applyAlignment="1" applyProtection="1">
      <alignment vertical="center"/>
      <protection locked="0" hidden="1"/>
    </xf>
    <xf numFmtId="0" fontId="13" fillId="3" borderId="17" xfId="3" applyFont="1" applyFill="1" applyBorder="1" applyAlignment="1" applyProtection="1">
      <alignment horizontal="center" vertical="center"/>
      <protection hidden="1"/>
    </xf>
    <xf numFmtId="0" fontId="13" fillId="3" borderId="18" xfId="3" applyFont="1" applyFill="1" applyBorder="1" applyAlignment="1" applyProtection="1">
      <alignment horizontal="center" vertical="center"/>
      <protection hidden="1"/>
    </xf>
    <xf numFmtId="0" fontId="13" fillId="3" borderId="19" xfId="3" applyFont="1" applyFill="1" applyBorder="1" applyAlignment="1" applyProtection="1">
      <alignment horizontal="center" vertical="center"/>
      <protection hidden="1"/>
    </xf>
    <xf numFmtId="168" fontId="13" fillId="3" borderId="17" xfId="3" applyNumberFormat="1" applyFont="1" applyFill="1" applyBorder="1" applyAlignment="1" applyProtection="1">
      <alignment horizontal="center" vertical="center"/>
      <protection hidden="1"/>
    </xf>
    <xf numFmtId="168" fontId="13" fillId="3" borderId="18" xfId="3" applyNumberFormat="1" applyFont="1" applyFill="1" applyBorder="1" applyAlignment="1" applyProtection="1">
      <alignment horizontal="center" vertical="center"/>
      <protection hidden="1"/>
    </xf>
    <xf numFmtId="168" fontId="13" fillId="3" borderId="19" xfId="3" applyNumberFormat="1" applyFont="1" applyFill="1" applyBorder="1" applyAlignment="1" applyProtection="1">
      <alignment horizontal="center" vertical="center"/>
      <protection hidden="1"/>
    </xf>
    <xf numFmtId="164" fontId="8" fillId="2" borderId="22" xfId="0" applyNumberFormat="1" applyFont="1" applyFill="1" applyBorder="1" applyAlignment="1" applyProtection="1">
      <alignment horizontal="center" vertical="top"/>
      <protection hidden="1"/>
    </xf>
    <xf numFmtId="0" fontId="19" fillId="3" borderId="17" xfId="0" applyFont="1" applyFill="1" applyBorder="1" applyAlignment="1" applyProtection="1">
      <alignment vertical="center"/>
      <protection locked="0" hidden="1"/>
    </xf>
    <xf numFmtId="0" fontId="19" fillId="3" borderId="18" xfId="0" applyFont="1" applyFill="1" applyBorder="1" applyAlignment="1" applyProtection="1">
      <alignment vertical="center"/>
      <protection locked="0" hidden="1"/>
    </xf>
    <xf numFmtId="0" fontId="19" fillId="3" borderId="19" xfId="0" applyFont="1" applyFill="1" applyBorder="1" applyAlignment="1" applyProtection="1">
      <alignment vertical="center"/>
      <protection locked="0" hidden="1"/>
    </xf>
    <xf numFmtId="0" fontId="7" fillId="0" borderId="39" xfId="0" applyFont="1" applyBorder="1" applyAlignment="1" applyProtection="1">
      <alignment vertical="center"/>
      <protection locked="0" hidden="1"/>
    </xf>
    <xf numFmtId="0" fontId="7" fillId="0" borderId="40" xfId="0" applyFont="1" applyBorder="1" applyAlignment="1" applyProtection="1">
      <alignment vertical="center"/>
      <protection locked="0" hidden="1"/>
    </xf>
    <xf numFmtId="0" fontId="7" fillId="0" borderId="4" xfId="0" applyFont="1" applyBorder="1" applyAlignment="1" applyProtection="1">
      <alignment vertical="center"/>
      <protection locked="0" hidden="1"/>
    </xf>
    <xf numFmtId="0" fontId="7" fillId="0" borderId="38" xfId="0" applyFont="1" applyBorder="1" applyAlignment="1" applyProtection="1">
      <alignment vertical="center"/>
      <protection locked="0" hidden="1"/>
    </xf>
    <xf numFmtId="0" fontId="2" fillId="0" borderId="55" xfId="0" applyFont="1" applyBorder="1" applyAlignment="1" applyProtection="1">
      <alignment vertical="center" wrapText="1"/>
      <protection hidden="1"/>
    </xf>
    <xf numFmtId="0" fontId="2" fillId="0" borderId="48" xfId="0" applyFont="1" applyBorder="1" applyAlignment="1" applyProtection="1">
      <alignment vertical="center" wrapText="1"/>
      <protection hidden="1"/>
    </xf>
    <xf numFmtId="0" fontId="2" fillId="0" borderId="56" xfId="0" applyFont="1" applyBorder="1" applyAlignment="1" applyProtection="1">
      <alignment vertical="center" wrapText="1"/>
      <protection hidden="1"/>
    </xf>
    <xf numFmtId="168" fontId="2" fillId="6" borderId="55" xfId="8" applyNumberFormat="1" applyFill="1" applyBorder="1" applyAlignment="1" applyProtection="1">
      <alignment horizontal="right" vertical="center" wrapText="1"/>
      <protection hidden="1"/>
    </xf>
    <xf numFmtId="168" fontId="2" fillId="6" borderId="56" xfId="8" applyNumberFormat="1" applyFill="1" applyBorder="1" applyAlignment="1" applyProtection="1">
      <alignment horizontal="right" vertical="center" wrapText="1"/>
      <protection hidden="1"/>
    </xf>
    <xf numFmtId="168" fontId="0" fillId="0" borderId="55" xfId="0" applyNumberFormat="1" applyBorder="1" applyAlignment="1" applyProtection="1">
      <alignment vertical="center"/>
      <protection hidden="1"/>
    </xf>
    <xf numFmtId="168" fontId="0" fillId="0" borderId="48" xfId="0" applyNumberFormat="1" applyBorder="1" applyAlignment="1" applyProtection="1">
      <alignment vertical="center"/>
      <protection hidden="1"/>
    </xf>
    <xf numFmtId="168" fontId="0" fillId="0" borderId="82" xfId="0" applyNumberFormat="1" applyBorder="1" applyAlignment="1" applyProtection="1">
      <alignment vertical="center"/>
      <protection hidden="1"/>
    </xf>
    <xf numFmtId="0" fontId="8" fillId="0" borderId="55" xfId="0" applyFont="1" applyBorder="1" applyAlignment="1" applyProtection="1">
      <alignment vertical="center" wrapText="1"/>
      <protection hidden="1"/>
    </xf>
    <xf numFmtId="0" fontId="8" fillId="0" borderId="48" xfId="0" applyFont="1" applyBorder="1" applyAlignment="1" applyProtection="1">
      <alignment vertical="center" wrapText="1"/>
      <protection hidden="1"/>
    </xf>
    <xf numFmtId="0" fontId="8" fillId="0" borderId="56" xfId="0" applyFont="1" applyBorder="1" applyAlignment="1" applyProtection="1">
      <alignment vertical="center" wrapText="1"/>
      <protection hidden="1"/>
    </xf>
    <xf numFmtId="168" fontId="2" fillId="7" borderId="55" xfId="0" applyNumberFormat="1" applyFont="1" applyFill="1" applyBorder="1" applyAlignment="1" applyProtection="1">
      <alignment horizontal="right" vertical="center" wrapText="1"/>
      <protection hidden="1"/>
    </xf>
    <xf numFmtId="168" fontId="0" fillId="7" borderId="56" xfId="0" applyNumberFormat="1" applyFill="1" applyBorder="1" applyAlignment="1" applyProtection="1">
      <alignment horizontal="right" vertical="center" wrapText="1"/>
      <protection hidden="1"/>
    </xf>
    <xf numFmtId="164" fontId="8" fillId="2" borderId="83" xfId="0" applyNumberFormat="1" applyFont="1" applyFill="1" applyBorder="1" applyAlignment="1" applyProtection="1">
      <alignment horizontal="center" vertical="top"/>
      <protection hidden="1"/>
    </xf>
    <xf numFmtId="164" fontId="8" fillId="2" borderId="39" xfId="0" applyNumberFormat="1" applyFont="1" applyFill="1" applyBorder="1" applyAlignment="1" applyProtection="1">
      <alignment horizontal="center" vertical="top"/>
      <protection hidden="1"/>
    </xf>
    <xf numFmtId="164" fontId="8" fillId="2" borderId="21" xfId="0" applyNumberFormat="1" applyFont="1" applyFill="1" applyBorder="1" applyAlignment="1" applyProtection="1">
      <alignment horizontal="center" vertical="top"/>
      <protection hidden="1"/>
    </xf>
  </cellXfs>
  <cellStyles count="11">
    <cellStyle name="Besuchter Hyperlink" xfId="1" builtinId="9"/>
    <cellStyle name="Euro" xfId="2" xr:uid="{00000000-0005-0000-0000-000001000000}"/>
    <cellStyle name="Hyperlink 2" xfId="5" xr:uid="{00000000-0005-0000-0000-000002000000}"/>
    <cellStyle name="Leer" xfId="6" xr:uid="{00000000-0005-0000-0000-000003000000}"/>
    <cellStyle name="Link" xfId="3" builtinId="8"/>
    <cellStyle name="Link 2" xfId="10" xr:uid="{00000000-0005-0000-0000-000005000000}"/>
    <cellStyle name="Standard" xfId="0" builtinId="0"/>
    <cellStyle name="Standard 2" xfId="7" xr:uid="{00000000-0005-0000-0000-000007000000}"/>
    <cellStyle name="Standard 3" xfId="4" xr:uid="{00000000-0005-0000-0000-000008000000}"/>
    <cellStyle name="Standard 4" xfId="8" xr:uid="{00000000-0005-0000-0000-000009000000}"/>
    <cellStyle name="Standard 5" xfId="9" xr:uid="{00000000-0005-0000-0000-00000A000000}"/>
  </cellStyles>
  <dxfs count="3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99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161925</xdr:colOff>
      <xdr:row>0</xdr:row>
      <xdr:rowOff>9525</xdr:rowOff>
    </xdr:from>
    <xdr:to>
      <xdr:col>14</xdr:col>
      <xdr:colOff>453175</xdr:colOff>
      <xdr:row>21</xdr:row>
      <xdr:rowOff>123375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97DFBA5-1E6A-49AD-9869-E4FB92C9C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2575" y="9525"/>
          <a:ext cx="5091850" cy="3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0"/>
  <sheetViews>
    <sheetView tabSelected="1" zoomScaleNormal="100" workbookViewId="0">
      <selection activeCell="G5" sqref="G5:I5"/>
    </sheetView>
  </sheetViews>
  <sheetFormatPr baseColWidth="10" defaultRowHeight="12.75" x14ac:dyDescent="0.2"/>
  <cols>
    <col min="1" max="1" width="7.7109375" customWidth="1"/>
    <col min="2" max="2" width="33" customWidth="1"/>
    <col min="3" max="5" width="11" customWidth="1"/>
    <col min="6" max="6" width="9.42578125" customWidth="1"/>
    <col min="7" max="9" width="13.7109375" customWidth="1"/>
    <col min="10" max="10" width="2.85546875" customWidth="1"/>
  </cols>
  <sheetData>
    <row r="1" spans="1:11" ht="26.25" x14ac:dyDescent="0.4">
      <c r="A1" s="1"/>
      <c r="B1" s="1"/>
      <c r="C1" s="1"/>
      <c r="D1" s="1"/>
      <c r="E1" s="282" t="s">
        <v>251</v>
      </c>
      <c r="G1" s="1"/>
      <c r="H1" s="1"/>
      <c r="I1" s="1"/>
    </row>
    <row r="2" spans="1:11" ht="20.25" x14ac:dyDescent="0.3">
      <c r="A2" s="1"/>
      <c r="B2" s="1"/>
      <c r="C2" s="1"/>
      <c r="D2" s="1"/>
      <c r="E2" s="283" t="s">
        <v>500</v>
      </c>
      <c r="G2" s="1"/>
      <c r="H2" s="1"/>
      <c r="I2" s="1"/>
    </row>
    <row r="3" spans="1:11" x14ac:dyDescent="0.2">
      <c r="A3" s="165"/>
      <c r="B3" s="165"/>
      <c r="C3" s="165"/>
      <c r="D3" s="165"/>
      <c r="E3" s="165"/>
      <c r="F3" s="165"/>
      <c r="G3" s="165"/>
      <c r="H3" s="165"/>
      <c r="I3" s="165"/>
    </row>
    <row r="4" spans="1:11" ht="15" thickBot="1" x14ac:dyDescent="0.25">
      <c r="A4" s="1"/>
      <c r="B4" s="1"/>
      <c r="C4" s="1"/>
      <c r="D4" s="1"/>
      <c r="E4" s="1"/>
      <c r="F4" s="1"/>
      <c r="G4" s="1"/>
      <c r="H4" s="1"/>
      <c r="I4" s="153"/>
    </row>
    <row r="5" spans="1:11" ht="15.75" thickBot="1" x14ac:dyDescent="0.3">
      <c r="A5" s="249" t="s">
        <v>223</v>
      </c>
      <c r="B5" s="249"/>
      <c r="C5" s="249"/>
      <c r="D5" s="249"/>
      <c r="E5" s="249"/>
      <c r="F5" s="1"/>
      <c r="G5" s="353"/>
      <c r="H5" s="354"/>
      <c r="I5" s="355"/>
    </row>
    <row r="6" spans="1:11" ht="13.5" thickBot="1" x14ac:dyDescent="0.25">
      <c r="A6" s="1"/>
      <c r="B6" s="1"/>
      <c r="C6" s="1"/>
      <c r="D6" s="1"/>
      <c r="E6" s="1"/>
      <c r="F6" s="1"/>
      <c r="G6" s="1"/>
      <c r="H6" s="1"/>
      <c r="I6" s="1"/>
    </row>
    <row r="7" spans="1:11" s="13" customFormat="1" ht="25.15" customHeight="1" thickBot="1" x14ac:dyDescent="0.25">
      <c r="A7" s="356" t="s">
        <v>536</v>
      </c>
      <c r="B7" s="357"/>
      <c r="C7" s="357"/>
      <c r="D7" s="357"/>
      <c r="E7" s="357"/>
      <c r="F7" s="357"/>
      <c r="G7" s="357"/>
      <c r="H7" s="357"/>
      <c r="I7" s="358"/>
    </row>
    <row r="8" spans="1:11" ht="13.5" thickBot="1" x14ac:dyDescent="0.25"/>
    <row r="9" spans="1:11" s="13" customFormat="1" ht="30" customHeight="1" thickBot="1" x14ac:dyDescent="0.25">
      <c r="A9" s="16" t="s">
        <v>0</v>
      </c>
      <c r="B9" s="250" t="s">
        <v>4</v>
      </c>
      <c r="C9" s="251"/>
      <c r="D9" s="251"/>
      <c r="E9" s="251"/>
      <c r="F9" s="112"/>
      <c r="G9" s="114" t="s">
        <v>5</v>
      </c>
      <c r="H9" s="114" t="s">
        <v>66</v>
      </c>
      <c r="I9" s="115" t="s">
        <v>6</v>
      </c>
    </row>
    <row r="10" spans="1:11" ht="18.75" customHeight="1" thickTop="1" thickBot="1" x14ac:dyDescent="0.25">
      <c r="A10" s="359" t="s">
        <v>158</v>
      </c>
      <c r="B10" s="324" t="str">
        <f>'Objekt (11)'!$O$2</f>
        <v>Grundschule Eldingen</v>
      </c>
      <c r="C10" s="311"/>
      <c r="D10" s="319"/>
      <c r="E10" s="319"/>
      <c r="F10" s="320"/>
      <c r="G10" s="321">
        <f ca="1">ROUND('Objekt (11)'!$G$14,2)</f>
        <v>0</v>
      </c>
      <c r="H10" s="321">
        <f ca="1">ROUND('Objekt (11)'!$G$15,2)</f>
        <v>0</v>
      </c>
      <c r="I10" s="322">
        <f ca="1">ROUND('Objekt (11)'!$G$16,2)</f>
        <v>0</v>
      </c>
    </row>
    <row r="11" spans="1:11" ht="18.75" customHeight="1" thickTop="1" x14ac:dyDescent="0.2">
      <c r="A11" s="360"/>
      <c r="B11" s="323" t="str">
        <f t="shared" ref="B11" si="0">B10&amp;" (Grundreinigung)"</f>
        <v>Grundschule Eldingen (Grundreinigung)</v>
      </c>
      <c r="C11" s="310"/>
      <c r="D11" s="252"/>
      <c r="E11" s="252"/>
      <c r="F11" s="253"/>
      <c r="G11" s="158">
        <f ca="1">ROUND('Objekt (11)'!$O$14,2)</f>
        <v>0</v>
      </c>
      <c r="H11" s="158">
        <f ca="1">ROUND('Objekt (11)'!$O$15,2)</f>
        <v>0</v>
      </c>
      <c r="I11" s="159">
        <f ca="1">ROUND('Objekt (11)'!$O$16,2)</f>
        <v>0</v>
      </c>
    </row>
    <row r="12" spans="1:11" ht="18.75" customHeight="1" x14ac:dyDescent="0.2">
      <c r="A12" s="361" t="s">
        <v>175</v>
      </c>
      <c r="B12" s="313" t="str">
        <f>'Objekt (12)'!$O$2</f>
        <v>IKARUS-Grundschule Lachendorf</v>
      </c>
      <c r="C12" s="310"/>
      <c r="D12" s="252"/>
      <c r="E12" s="252"/>
      <c r="F12" s="253"/>
      <c r="G12" s="158">
        <f ca="1">ROUND('Objekt (12)'!$G$14,2)</f>
        <v>0</v>
      </c>
      <c r="H12" s="158">
        <f ca="1">ROUND('Objekt (12)'!$G$15,2)</f>
        <v>0</v>
      </c>
      <c r="I12" s="159">
        <f ca="1">ROUND('Objekt (12)'!$G$16,2)</f>
        <v>0</v>
      </c>
      <c r="K12" s="342" t="str">
        <f ca="1">IF(AND(SVS_UR&gt;0,'Objekt (12)'!Q92=0),"Preis Pos. 70 fehlt","")</f>
        <v/>
      </c>
    </row>
    <row r="13" spans="1:11" ht="18.75" customHeight="1" x14ac:dyDescent="0.2">
      <c r="A13" s="361"/>
      <c r="B13" s="313" t="str">
        <f t="shared" ref="B13" si="1">B12&amp;" (Grundreinigung)"</f>
        <v>IKARUS-Grundschule Lachendorf (Grundreinigung)</v>
      </c>
      <c r="C13" s="310"/>
      <c r="D13" s="252"/>
      <c r="E13" s="252"/>
      <c r="F13" s="253"/>
      <c r="G13" s="158">
        <f ca="1">ROUND('Objekt (12)'!$O$14,2)</f>
        <v>0</v>
      </c>
      <c r="H13" s="158">
        <f ca="1">ROUND('Objekt (12)'!$O$15,2)</f>
        <v>0</v>
      </c>
      <c r="I13" s="159">
        <f ca="1">ROUND('Objekt (12)'!$O$16,2)</f>
        <v>0</v>
      </c>
    </row>
    <row r="14" spans="1:11" ht="18.75" customHeight="1" x14ac:dyDescent="0.2">
      <c r="A14" s="361" t="s">
        <v>239</v>
      </c>
      <c r="B14" s="313" t="str">
        <f>'Objekt (13)'!$O$2</f>
        <v>Wiehetal-Grundschule Hohne</v>
      </c>
      <c r="C14" s="310"/>
      <c r="D14" s="252"/>
      <c r="E14" s="252"/>
      <c r="F14" s="253"/>
      <c r="G14" s="158">
        <f ca="1">ROUND('Objekt (13)'!$G$14,2)</f>
        <v>0</v>
      </c>
      <c r="H14" s="158">
        <f ca="1">ROUND('Objekt (13)'!$G$15,2)</f>
        <v>0</v>
      </c>
      <c r="I14" s="159">
        <f ca="1">ROUND('Objekt (13)'!$G$16,2)</f>
        <v>0</v>
      </c>
    </row>
    <row r="15" spans="1:11" ht="18.75" customHeight="1" x14ac:dyDescent="0.2">
      <c r="A15" s="361"/>
      <c r="B15" s="313" t="str">
        <f t="shared" ref="B15" si="2">B14&amp;" (Grundreinigung)"</f>
        <v>Wiehetal-Grundschule Hohne (Grundreinigung)</v>
      </c>
      <c r="C15" s="310"/>
      <c r="D15" s="252"/>
      <c r="E15" s="252"/>
      <c r="F15" s="253"/>
      <c r="G15" s="158">
        <f ca="1">ROUND('Objekt (13)'!$O$14,2)</f>
        <v>0</v>
      </c>
      <c r="H15" s="158">
        <f ca="1">ROUND('Objekt (13)'!$O$15,2)</f>
        <v>0</v>
      </c>
      <c r="I15" s="159">
        <f ca="1">ROUND('Objekt (13)'!$O$16,2)</f>
        <v>0</v>
      </c>
    </row>
    <row r="16" spans="1:11" ht="18.75" customHeight="1" x14ac:dyDescent="0.2">
      <c r="A16" s="361" t="s">
        <v>240</v>
      </c>
      <c r="B16" s="313" t="str">
        <f>'Objekt (14)'!$O$2</f>
        <v>Turnhalle Eldingen</v>
      </c>
      <c r="C16" s="310"/>
      <c r="D16" s="252"/>
      <c r="E16" s="252"/>
      <c r="F16" s="253"/>
      <c r="G16" s="158">
        <f ca="1">ROUND('Objekt (14)'!$G$14,2)</f>
        <v>0</v>
      </c>
      <c r="H16" s="158">
        <f ca="1">ROUND('Objekt (14)'!$G$15,2)</f>
        <v>0</v>
      </c>
      <c r="I16" s="159">
        <f ca="1">ROUND('Objekt (14)'!$G$16,2)</f>
        <v>0</v>
      </c>
    </row>
    <row r="17" spans="1:9" ht="18.75" customHeight="1" x14ac:dyDescent="0.2">
      <c r="A17" s="361"/>
      <c r="B17" s="313" t="str">
        <f t="shared" ref="B17" si="3">B16&amp;" (Grundreinigung)"</f>
        <v>Turnhalle Eldingen (Grundreinigung)</v>
      </c>
      <c r="C17" s="310"/>
      <c r="D17" s="252"/>
      <c r="E17" s="252"/>
      <c r="F17" s="253"/>
      <c r="G17" s="158">
        <f ca="1">ROUND('Objekt (14)'!$O$14,2)</f>
        <v>0</v>
      </c>
      <c r="H17" s="158">
        <f ca="1">ROUND('Objekt (14)'!$O$15,2)</f>
        <v>0</v>
      </c>
      <c r="I17" s="159">
        <f ca="1">ROUND('Objekt (14)'!$O$16,2)</f>
        <v>0</v>
      </c>
    </row>
    <row r="18" spans="1:9" ht="18.75" customHeight="1" x14ac:dyDescent="0.2">
      <c r="A18" s="361" t="s">
        <v>241</v>
      </c>
      <c r="B18" s="313" t="str">
        <f>'Objekt (15)'!$O$2</f>
        <v>Turnhalle Lachendorf</v>
      </c>
      <c r="C18" s="310"/>
      <c r="D18" s="252"/>
      <c r="E18" s="252"/>
      <c r="F18" s="253"/>
      <c r="G18" s="158">
        <f ca="1">ROUND('Objekt (15)'!$G$14,2)</f>
        <v>0</v>
      </c>
      <c r="H18" s="158">
        <f ca="1">ROUND('Objekt (15)'!$G$15,2)</f>
        <v>0</v>
      </c>
      <c r="I18" s="159">
        <f ca="1">ROUND('Objekt (15)'!$G$16,2)</f>
        <v>0</v>
      </c>
    </row>
    <row r="19" spans="1:9" ht="18.75" customHeight="1" x14ac:dyDescent="0.2">
      <c r="A19" s="361"/>
      <c r="B19" s="313" t="str">
        <f t="shared" ref="B19" si="4">B18&amp;" (Grundreinigung)"</f>
        <v>Turnhalle Lachendorf (Grundreinigung)</v>
      </c>
      <c r="C19" s="310"/>
      <c r="D19" s="252"/>
      <c r="E19" s="252"/>
      <c r="F19" s="253"/>
      <c r="G19" s="158">
        <f ca="1">ROUND('Objekt (15)'!$O$14,2)</f>
        <v>0</v>
      </c>
      <c r="H19" s="158">
        <f ca="1">ROUND('Objekt (15)'!$O$15,2)</f>
        <v>0</v>
      </c>
      <c r="I19" s="159">
        <f ca="1">ROUND('Objekt (15)'!$O$16,2)</f>
        <v>0</v>
      </c>
    </row>
    <row r="20" spans="1:9" ht="18.75" customHeight="1" x14ac:dyDescent="0.2">
      <c r="A20" s="361" t="s">
        <v>242</v>
      </c>
      <c r="B20" s="313" t="str">
        <f>'Objekt (16)'!$O$2</f>
        <v>Turnhalle Hohne</v>
      </c>
      <c r="C20" s="310"/>
      <c r="D20" s="252"/>
      <c r="E20" s="252"/>
      <c r="F20" s="253"/>
      <c r="G20" s="158">
        <f ca="1">ROUND('Objekt (16)'!$G$14,2)</f>
        <v>0</v>
      </c>
      <c r="H20" s="158">
        <f ca="1">ROUND('Objekt (16)'!$G$15,2)</f>
        <v>0</v>
      </c>
      <c r="I20" s="159">
        <f ca="1">ROUND('Objekt (16)'!$G$16,2)</f>
        <v>0</v>
      </c>
    </row>
    <row r="21" spans="1:9" ht="18.75" customHeight="1" x14ac:dyDescent="0.2">
      <c r="A21" s="361"/>
      <c r="B21" s="313" t="str">
        <f t="shared" ref="B21" si="5">B20&amp;" (Grundreinigung)"</f>
        <v>Turnhalle Hohne (Grundreinigung)</v>
      </c>
      <c r="C21" s="310"/>
      <c r="D21" s="252"/>
      <c r="E21" s="252"/>
      <c r="F21" s="253"/>
      <c r="G21" s="158">
        <f ca="1">ROUND('Objekt (16)'!$O$14,2)</f>
        <v>0</v>
      </c>
      <c r="H21" s="158">
        <f ca="1">ROUND('Objekt (16)'!$O$15,2)</f>
        <v>0</v>
      </c>
      <c r="I21" s="159">
        <f ca="1">ROUND('Objekt (16)'!$O$16,2)</f>
        <v>0</v>
      </c>
    </row>
    <row r="22" spans="1:9" ht="18.75" customHeight="1" x14ac:dyDescent="0.2">
      <c r="A22" s="361" t="s">
        <v>243</v>
      </c>
      <c r="B22" s="313" t="str">
        <f>'Objekt (17)'!$O$2</f>
        <v>Feuerwehr Lachendorf</v>
      </c>
      <c r="C22" s="310"/>
      <c r="D22" s="252"/>
      <c r="E22" s="252"/>
      <c r="F22" s="253"/>
      <c r="G22" s="158">
        <f ca="1">ROUND('Objekt (17)'!$G$14,2)</f>
        <v>0</v>
      </c>
      <c r="H22" s="158">
        <f ca="1">ROUND('Objekt (17)'!$G$15,2)</f>
        <v>0</v>
      </c>
      <c r="I22" s="159">
        <f ca="1">ROUND('Objekt (17)'!$G$16,2)</f>
        <v>0</v>
      </c>
    </row>
    <row r="23" spans="1:9" ht="18.75" customHeight="1" x14ac:dyDescent="0.2">
      <c r="A23" s="361"/>
      <c r="B23" s="313" t="str">
        <f t="shared" ref="B23" si="6">B22&amp;" (Grundreinigung)"</f>
        <v>Feuerwehr Lachendorf (Grundreinigung)</v>
      </c>
      <c r="C23" s="310"/>
      <c r="D23" s="252"/>
      <c r="E23" s="252"/>
      <c r="F23" s="253"/>
      <c r="G23" s="158">
        <f ca="1">ROUND('Objekt (17)'!$O$14,2)</f>
        <v>0</v>
      </c>
      <c r="H23" s="158">
        <f ca="1">ROUND('Objekt (17)'!$O$15,2)</f>
        <v>0</v>
      </c>
      <c r="I23" s="159">
        <f ca="1">ROUND('Objekt (17)'!$O$16,2)</f>
        <v>0</v>
      </c>
    </row>
    <row r="24" spans="1:9" ht="18.75" customHeight="1" x14ac:dyDescent="0.2">
      <c r="A24" s="361" t="s">
        <v>244</v>
      </c>
      <c r="B24" s="313" t="str">
        <f>'Objekt (18)'!$O$2</f>
        <v>Feuerwehr Ahnsbeck</v>
      </c>
      <c r="C24" s="310"/>
      <c r="D24" s="252"/>
      <c r="E24" s="252"/>
      <c r="F24" s="253"/>
      <c r="G24" s="158">
        <f ca="1">ROUND('Objekt (18)'!$G$14,2)</f>
        <v>0</v>
      </c>
      <c r="H24" s="158">
        <f ca="1">ROUND('Objekt (18)'!$G$15,2)</f>
        <v>0</v>
      </c>
      <c r="I24" s="159">
        <f ca="1">ROUND('Objekt (18)'!$G$16,2)</f>
        <v>0</v>
      </c>
    </row>
    <row r="25" spans="1:9" ht="18.75" customHeight="1" x14ac:dyDescent="0.2">
      <c r="A25" s="361"/>
      <c r="B25" s="313" t="str">
        <f t="shared" ref="B25" si="7">B24&amp;" (Grundreinigung)"</f>
        <v>Feuerwehr Ahnsbeck (Grundreinigung)</v>
      </c>
      <c r="C25" s="310"/>
      <c r="D25" s="252"/>
      <c r="E25" s="252"/>
      <c r="F25" s="253"/>
      <c r="G25" s="158">
        <f ca="1">ROUND('Objekt (18)'!$O$14,2)</f>
        <v>0</v>
      </c>
      <c r="H25" s="158">
        <f ca="1">ROUND('Objekt (18)'!$O$15,2)</f>
        <v>0</v>
      </c>
      <c r="I25" s="159">
        <f ca="1">ROUND('Objekt (18)'!$O$16,2)</f>
        <v>0</v>
      </c>
    </row>
    <row r="26" spans="1:9" ht="18.75" customHeight="1" x14ac:dyDescent="0.2">
      <c r="A26" s="361" t="s">
        <v>245</v>
      </c>
      <c r="B26" s="313" t="str">
        <f>'Objekt (19)'!$O$2</f>
        <v>Feuerwehr Bargfeld</v>
      </c>
      <c r="C26" s="310"/>
      <c r="D26" s="252"/>
      <c r="E26" s="252"/>
      <c r="F26" s="253"/>
      <c r="G26" s="158">
        <f ca="1">ROUND('Objekt (19)'!$G$14,2)</f>
        <v>0</v>
      </c>
      <c r="H26" s="158">
        <f ca="1">ROUND('Objekt (19)'!$G$15,2)</f>
        <v>0</v>
      </c>
      <c r="I26" s="159">
        <f ca="1">ROUND('Objekt (19)'!$G$16,2)</f>
        <v>0</v>
      </c>
    </row>
    <row r="27" spans="1:9" ht="18.75" customHeight="1" x14ac:dyDescent="0.2">
      <c r="A27" s="361"/>
      <c r="B27" s="313" t="str">
        <f t="shared" ref="B27:B39" si="8">B26&amp;" (Grundreinigung)"</f>
        <v>Feuerwehr Bargfeld (Grundreinigung)</v>
      </c>
      <c r="C27" s="310"/>
      <c r="D27" s="252"/>
      <c r="E27" s="252"/>
      <c r="F27" s="253"/>
      <c r="G27" s="158">
        <f ca="1">ROUND('Objekt (19)'!$O$14,2)</f>
        <v>0</v>
      </c>
      <c r="H27" s="158">
        <f ca="1">ROUND('Objekt (19)'!$O$15,2)</f>
        <v>0</v>
      </c>
      <c r="I27" s="159">
        <f ca="1">ROUND('Objekt (19)'!$O$16,2)</f>
        <v>0</v>
      </c>
    </row>
    <row r="28" spans="1:9" ht="18.75" customHeight="1" x14ac:dyDescent="0.2">
      <c r="A28" s="361" t="s">
        <v>246</v>
      </c>
      <c r="B28" s="313" t="str">
        <f>'Objekt (20)'!$O$2</f>
        <v>Feuerwehr Beedenbostel</v>
      </c>
      <c r="C28" s="310"/>
      <c r="D28" s="252"/>
      <c r="E28" s="252"/>
      <c r="F28" s="253"/>
      <c r="G28" s="158">
        <f ca="1">ROUND('Objekt (20)'!$G$14,2)</f>
        <v>0</v>
      </c>
      <c r="H28" s="158">
        <f ca="1">ROUND('Objekt (20)'!$G$15,2)</f>
        <v>0</v>
      </c>
      <c r="I28" s="159">
        <f ca="1">ROUND('Objekt (20)'!$G$16,2)</f>
        <v>0</v>
      </c>
    </row>
    <row r="29" spans="1:9" ht="18.75" customHeight="1" x14ac:dyDescent="0.2">
      <c r="A29" s="361"/>
      <c r="B29" s="313" t="str">
        <f t="shared" si="8"/>
        <v>Feuerwehr Beedenbostel (Grundreinigung)</v>
      </c>
      <c r="C29" s="310"/>
      <c r="D29" s="252"/>
      <c r="E29" s="252"/>
      <c r="F29" s="253"/>
      <c r="G29" s="158">
        <f ca="1">ROUND('Objekt (20)'!$O$14,2)</f>
        <v>0</v>
      </c>
      <c r="H29" s="158">
        <f ca="1">ROUND('Objekt (20)'!$O$15,2)</f>
        <v>0</v>
      </c>
      <c r="I29" s="159">
        <f ca="1">ROUND('Objekt (20)'!$O$16,2)</f>
        <v>0</v>
      </c>
    </row>
    <row r="30" spans="1:9" ht="18.75" customHeight="1" x14ac:dyDescent="0.2">
      <c r="A30" s="361" t="s">
        <v>247</v>
      </c>
      <c r="B30" s="313" t="str">
        <f>'Objekt (21)'!$O$2</f>
        <v>Feuerwehr Eldingen</v>
      </c>
      <c r="C30" s="310"/>
      <c r="D30" s="252"/>
      <c r="E30" s="252"/>
      <c r="F30" s="253"/>
      <c r="G30" s="158">
        <f ca="1">ROUND('Objekt (21)'!$G$14,2)</f>
        <v>0</v>
      </c>
      <c r="H30" s="158">
        <f ca="1">ROUND('Objekt (21)'!$G$15,2)</f>
        <v>0</v>
      </c>
      <c r="I30" s="159">
        <f ca="1">ROUND('Objekt (21)'!$G$16,2)</f>
        <v>0</v>
      </c>
    </row>
    <row r="31" spans="1:9" ht="18.75" customHeight="1" x14ac:dyDescent="0.2">
      <c r="A31" s="361"/>
      <c r="B31" s="313" t="str">
        <f t="shared" si="8"/>
        <v>Feuerwehr Eldingen (Grundreinigung)</v>
      </c>
      <c r="C31" s="310"/>
      <c r="D31" s="252"/>
      <c r="E31" s="252"/>
      <c r="F31" s="253"/>
      <c r="G31" s="158">
        <f ca="1">ROUND('Objekt (21)'!$O$14,2)</f>
        <v>0</v>
      </c>
      <c r="H31" s="158">
        <f ca="1">ROUND('Objekt (21)'!$O$15,2)</f>
        <v>0</v>
      </c>
      <c r="I31" s="159">
        <f ca="1">ROUND('Objekt (21)'!$O$16,2)</f>
        <v>0</v>
      </c>
    </row>
    <row r="32" spans="1:9" ht="18.75" customHeight="1" x14ac:dyDescent="0.2">
      <c r="A32" s="361" t="s">
        <v>248</v>
      </c>
      <c r="B32" s="313" t="str">
        <f>'Objekt (22)'!$O$2</f>
        <v>Feuerwehr Gockenholz</v>
      </c>
      <c r="C32" s="310"/>
      <c r="D32" s="252"/>
      <c r="E32" s="252"/>
      <c r="F32" s="253"/>
      <c r="G32" s="158">
        <f ca="1">ROUND('Objekt (22)'!$G$14,2)</f>
        <v>0</v>
      </c>
      <c r="H32" s="158">
        <f ca="1">ROUND('Objekt (22)'!$G$15,2)</f>
        <v>0</v>
      </c>
      <c r="I32" s="159">
        <f ca="1">ROUND('Objekt (22)'!$G$16,2)</f>
        <v>0</v>
      </c>
    </row>
    <row r="33" spans="1:9" ht="18.75" customHeight="1" x14ac:dyDescent="0.2">
      <c r="A33" s="361"/>
      <c r="B33" s="313" t="str">
        <f t="shared" si="8"/>
        <v>Feuerwehr Gockenholz (Grundreinigung)</v>
      </c>
      <c r="C33" s="310"/>
      <c r="D33" s="252"/>
      <c r="E33" s="252"/>
      <c r="F33" s="253"/>
      <c r="G33" s="158">
        <f ca="1">ROUND('Objekt (22)'!$O$14,2)</f>
        <v>0</v>
      </c>
      <c r="H33" s="158">
        <f ca="1">ROUND('Objekt (22)'!$O$15,2)</f>
        <v>0</v>
      </c>
      <c r="I33" s="159">
        <f ca="1">ROUND('Objekt (22)'!$O$16,2)</f>
        <v>0</v>
      </c>
    </row>
    <row r="34" spans="1:9" ht="18.75" customHeight="1" x14ac:dyDescent="0.2">
      <c r="A34" s="361" t="s">
        <v>249</v>
      </c>
      <c r="B34" s="313" t="str">
        <f>'Objekt (23)'!$O$2</f>
        <v>Feuerwehr Hohne</v>
      </c>
      <c r="C34" s="310"/>
      <c r="D34" s="252"/>
      <c r="E34" s="252"/>
      <c r="F34" s="253"/>
      <c r="G34" s="158">
        <f ca="1">ROUND('Objekt (23)'!$G$14,2)</f>
        <v>0</v>
      </c>
      <c r="H34" s="158">
        <f ca="1">ROUND('Objekt (23)'!$G$15,2)</f>
        <v>0</v>
      </c>
      <c r="I34" s="159">
        <f ca="1">ROUND('Objekt (23)'!$G$16,2)</f>
        <v>0</v>
      </c>
    </row>
    <row r="35" spans="1:9" ht="18.75" customHeight="1" x14ac:dyDescent="0.2">
      <c r="A35" s="361"/>
      <c r="B35" s="313" t="str">
        <f t="shared" si="8"/>
        <v>Feuerwehr Hohne (Grundreinigung)</v>
      </c>
      <c r="C35" s="310"/>
      <c r="D35" s="252"/>
      <c r="E35" s="252"/>
      <c r="F35" s="253"/>
      <c r="G35" s="158">
        <f ca="1">ROUND('Objekt (23)'!$O$14,2)</f>
        <v>0</v>
      </c>
      <c r="H35" s="158">
        <f ca="1">ROUND('Objekt (23)'!$O$15,2)</f>
        <v>0</v>
      </c>
      <c r="I35" s="159">
        <f ca="1">ROUND('Objekt (23)'!$O$16,2)</f>
        <v>0</v>
      </c>
    </row>
    <row r="36" spans="1:9" ht="18.75" customHeight="1" x14ac:dyDescent="0.2">
      <c r="A36" s="361" t="s">
        <v>250</v>
      </c>
      <c r="B36" s="313" t="str">
        <f>'Objekt (24)'!$O$2</f>
        <v>Feuerwehr Hohnhorst</v>
      </c>
      <c r="C36" s="310"/>
      <c r="D36" s="252"/>
      <c r="E36" s="252"/>
      <c r="F36" s="253"/>
      <c r="G36" s="158">
        <f ca="1">ROUND('Objekt (24)'!$G$14,2)</f>
        <v>0</v>
      </c>
      <c r="H36" s="158">
        <f ca="1">ROUND('Objekt (24)'!$G$15,2)</f>
        <v>0</v>
      </c>
      <c r="I36" s="159">
        <f ca="1">ROUND('Objekt (24)'!$G$16,2)</f>
        <v>0</v>
      </c>
    </row>
    <row r="37" spans="1:9" ht="18.75" customHeight="1" x14ac:dyDescent="0.2">
      <c r="A37" s="361"/>
      <c r="B37" s="313" t="str">
        <f t="shared" si="8"/>
        <v>Feuerwehr Hohnhorst (Grundreinigung)</v>
      </c>
      <c r="C37" s="310"/>
      <c r="D37" s="252"/>
      <c r="E37" s="252"/>
      <c r="F37" s="253"/>
      <c r="G37" s="158">
        <f ca="1">ROUND('Objekt (24)'!$O$14,2)</f>
        <v>0</v>
      </c>
      <c r="H37" s="158">
        <f ca="1">ROUND('Objekt (24)'!$O$15,2)</f>
        <v>0</v>
      </c>
      <c r="I37" s="159">
        <f ca="1">ROUND('Objekt (24)'!$O$16,2)</f>
        <v>0</v>
      </c>
    </row>
    <row r="38" spans="1:9" ht="18.75" customHeight="1" x14ac:dyDescent="0.2">
      <c r="A38" s="361" t="s">
        <v>530</v>
      </c>
      <c r="B38" s="313" t="str">
        <f>'Objekt (25)'!$O$2</f>
        <v>Bauhof Lachendorf</v>
      </c>
      <c r="C38" s="310"/>
      <c r="D38" s="252"/>
      <c r="E38" s="252"/>
      <c r="F38" s="253"/>
      <c r="G38" s="158">
        <f ca="1">ROUND('Objekt (25)'!$G$14,2)</f>
        <v>0</v>
      </c>
      <c r="H38" s="158">
        <f ca="1">ROUND('Objekt (25)'!$G$15,2)</f>
        <v>0</v>
      </c>
      <c r="I38" s="159">
        <f ca="1">ROUND('Objekt (25)'!$G$16,2)</f>
        <v>0</v>
      </c>
    </row>
    <row r="39" spans="1:9" ht="18.75" customHeight="1" thickBot="1" x14ac:dyDescent="0.25">
      <c r="A39" s="362"/>
      <c r="B39" s="314" t="str">
        <f t="shared" si="8"/>
        <v>Bauhof Lachendorf (Grundreinigung)</v>
      </c>
      <c r="C39" s="312"/>
      <c r="D39" s="252"/>
      <c r="E39" s="252"/>
      <c r="F39" s="253"/>
      <c r="G39" s="158">
        <f ca="1">ROUND('Objekt (25)'!$O$14,2)</f>
        <v>0</v>
      </c>
      <c r="H39" s="158">
        <f ca="1">ROUND('Objekt (25)'!$O$15,2)</f>
        <v>0</v>
      </c>
      <c r="I39" s="159">
        <f ca="1">ROUND('Objekt (25)'!$O$16,2)</f>
        <v>0</v>
      </c>
    </row>
    <row r="40" spans="1:9" ht="30" customHeight="1" thickTop="1" thickBot="1" x14ac:dyDescent="0.25">
      <c r="A40" s="14"/>
      <c r="B40" s="254" t="s">
        <v>22</v>
      </c>
      <c r="C40" s="254"/>
      <c r="D40" s="254"/>
      <c r="E40" s="254"/>
      <c r="F40" s="15"/>
      <c r="G40" s="160">
        <f ca="1">SUM(G10:G39)</f>
        <v>0</v>
      </c>
      <c r="H40" s="160">
        <f ca="1">SUM(H10:H39)</f>
        <v>0</v>
      </c>
      <c r="I40" s="161">
        <f ca="1">SUM(I10:I39)</f>
        <v>0</v>
      </c>
    </row>
    <row r="41" spans="1:9" x14ac:dyDescent="0.2">
      <c r="A41" s="1"/>
      <c r="B41" s="1"/>
      <c r="C41" s="1"/>
      <c r="D41" s="1"/>
      <c r="E41" s="1"/>
      <c r="F41" s="1"/>
      <c r="G41" s="1"/>
      <c r="H41" s="346">
        <v>0.19</v>
      </c>
      <c r="I41" s="1"/>
    </row>
    <row r="42" spans="1:9" ht="13.5" thickBot="1" x14ac:dyDescent="0.25">
      <c r="A42" s="1"/>
      <c r="B42" s="1"/>
      <c r="C42" s="1"/>
      <c r="D42" s="1"/>
      <c r="E42" s="154"/>
    </row>
    <row r="43" spans="1:9" s="13" customFormat="1" ht="25.15" customHeight="1" thickBot="1" x14ac:dyDescent="0.25">
      <c r="A43" s="350" t="s">
        <v>95</v>
      </c>
      <c r="B43" s="351"/>
      <c r="C43" s="351"/>
      <c r="D43" s="351"/>
      <c r="E43" s="351"/>
      <c r="F43" s="351"/>
      <c r="G43" s="351"/>
      <c r="H43" s="351"/>
      <c r="I43" s="352"/>
    </row>
    <row r="44" spans="1:9" ht="12.75" customHeight="1" thickBot="1" x14ac:dyDescent="0.25"/>
    <row r="45" spans="1:9" s="13" customFormat="1" ht="30" customHeight="1" thickBot="1" x14ac:dyDescent="0.25">
      <c r="A45" s="16" t="s">
        <v>0</v>
      </c>
      <c r="B45" s="112" t="s">
        <v>4</v>
      </c>
      <c r="C45" s="155" t="s">
        <v>70</v>
      </c>
      <c r="D45" s="155" t="s">
        <v>71</v>
      </c>
      <c r="E45" s="155" t="s">
        <v>157</v>
      </c>
      <c r="F45" s="114" t="s">
        <v>14</v>
      </c>
      <c r="G45" s="114" t="s">
        <v>17</v>
      </c>
      <c r="H45" s="114" t="s">
        <v>18</v>
      </c>
      <c r="I45" s="239" t="s">
        <v>199</v>
      </c>
    </row>
    <row r="46" spans="1:9" s="13" customFormat="1" ht="18.75" customHeight="1" thickTop="1" x14ac:dyDescent="0.2">
      <c r="A46" s="363" t="s">
        <v>158</v>
      </c>
      <c r="B46" s="313" t="str">
        <f>'Objekt (11)'!$O$2</f>
        <v>Grundschule Eldingen</v>
      </c>
      <c r="C46" s="156">
        <f>'Objekt (11)'!$G$5</f>
        <v>194</v>
      </c>
      <c r="D46" s="156">
        <f>'Objekt (11)'!$G$6</f>
        <v>5</v>
      </c>
      <c r="E46" s="217">
        <f>'Objekt (11)'!$G$7</f>
        <v>1773.3599999999994</v>
      </c>
      <c r="F46" s="157">
        <f>'Objekt (11)'!$G$10</f>
        <v>0</v>
      </c>
      <c r="G46" s="157">
        <f>'Objekt (11)'!$G$9</f>
        <v>0</v>
      </c>
      <c r="H46" s="217">
        <f>'Objekt (11)'!$G$8</f>
        <v>252340.54800000013</v>
      </c>
      <c r="I46" s="9">
        <f>'Objekt (11)'!$G$11</f>
        <v>0</v>
      </c>
    </row>
    <row r="47" spans="1:9" s="13" customFormat="1" ht="18.75" customHeight="1" x14ac:dyDescent="0.2">
      <c r="A47" s="364"/>
      <c r="B47" s="313" t="str">
        <f t="shared" ref="B47" si="9">B46&amp;" (Grundreinigung)"</f>
        <v>Grundschule Eldingen (Grundreinigung)</v>
      </c>
      <c r="C47" s="156"/>
      <c r="D47" s="156"/>
      <c r="E47" s="217"/>
      <c r="F47" s="157"/>
      <c r="G47" s="157">
        <f>'Objekt (11)'!$O$9</f>
        <v>0</v>
      </c>
      <c r="H47" s="217">
        <f>'Objekt (11)'!$O$8</f>
        <v>1773.3599999999994</v>
      </c>
      <c r="I47" s="9" t="e">
        <f>'Objekt (11)'!$O$11</f>
        <v>#DIV/0!</v>
      </c>
    </row>
    <row r="48" spans="1:9" s="13" customFormat="1" ht="18.75" customHeight="1" x14ac:dyDescent="0.2">
      <c r="A48" s="363" t="s">
        <v>175</v>
      </c>
      <c r="B48" s="313" t="str">
        <f>'Objekt (12)'!$O$2</f>
        <v>IKARUS-Grundschule Lachendorf</v>
      </c>
      <c r="C48" s="156">
        <f>'Objekt (12)'!$G$5</f>
        <v>194</v>
      </c>
      <c r="D48" s="156">
        <f>'Objekt (12)'!$G$6</f>
        <v>5</v>
      </c>
      <c r="E48" s="217">
        <f>'Objekt (12)'!$G$7</f>
        <v>2236.13</v>
      </c>
      <c r="F48" s="157">
        <f>'Objekt (12)'!$G$10</f>
        <v>0</v>
      </c>
      <c r="G48" s="157">
        <f>'Objekt (12)'!$G$9</f>
        <v>0</v>
      </c>
      <c r="H48" s="217">
        <f>'Objekt (12)'!$G$8</f>
        <v>377501.88800000004</v>
      </c>
      <c r="I48" s="9">
        <f>'Objekt (12)'!$G$11</f>
        <v>0</v>
      </c>
    </row>
    <row r="49" spans="1:9" s="13" customFormat="1" ht="18.75" customHeight="1" x14ac:dyDescent="0.2">
      <c r="A49" s="364"/>
      <c r="B49" s="313" t="str">
        <f t="shared" ref="B49" si="10">B48&amp;" (Grundreinigung)"</f>
        <v>IKARUS-Grundschule Lachendorf (Grundreinigung)</v>
      </c>
      <c r="C49" s="156"/>
      <c r="D49" s="156"/>
      <c r="E49" s="217"/>
      <c r="F49" s="157"/>
      <c r="G49" s="157">
        <f>'Objekt (12)'!$O$9</f>
        <v>0</v>
      </c>
      <c r="H49" s="217">
        <f>'Objekt (12)'!$O$8</f>
        <v>2159.88</v>
      </c>
      <c r="I49" s="9" t="e">
        <f>'Objekt (12)'!$O$11</f>
        <v>#DIV/0!</v>
      </c>
    </row>
    <row r="50" spans="1:9" s="13" customFormat="1" ht="18.75" customHeight="1" x14ac:dyDescent="0.2">
      <c r="A50" s="363" t="s">
        <v>239</v>
      </c>
      <c r="B50" s="313" t="str">
        <f>'Objekt (13)'!$O$2</f>
        <v>Wiehetal-Grundschule Hohne</v>
      </c>
      <c r="C50" s="156">
        <f>'Objekt (13)'!$G$5</f>
        <v>194</v>
      </c>
      <c r="D50" s="156">
        <f>'Objekt (13)'!$G$6</f>
        <v>5</v>
      </c>
      <c r="E50" s="217">
        <f>'Objekt (13)'!$G$7</f>
        <v>2278.92</v>
      </c>
      <c r="F50" s="157">
        <f>'Objekt (13)'!$G$10</f>
        <v>0</v>
      </c>
      <c r="G50" s="157">
        <f>'Objekt (13)'!$G$9</f>
        <v>0</v>
      </c>
      <c r="H50" s="217">
        <f>'Objekt (13)'!$G$8</f>
        <v>380913.83400000003</v>
      </c>
      <c r="I50" s="9">
        <f>'Objekt (13)'!$G$11</f>
        <v>0</v>
      </c>
    </row>
    <row r="51" spans="1:9" s="13" customFormat="1" ht="18.75" customHeight="1" x14ac:dyDescent="0.2">
      <c r="A51" s="364"/>
      <c r="B51" s="313" t="str">
        <f t="shared" ref="B51" si="11">B50&amp;" (Grundreinigung)"</f>
        <v>Wiehetal-Grundschule Hohne (Grundreinigung)</v>
      </c>
      <c r="C51" s="156"/>
      <c r="D51" s="156"/>
      <c r="E51" s="217"/>
      <c r="F51" s="157"/>
      <c r="G51" s="157">
        <f>'Objekt (13)'!$O$9</f>
        <v>0</v>
      </c>
      <c r="H51" s="217">
        <f>'Objekt (13)'!$O$8</f>
        <v>2278.92</v>
      </c>
      <c r="I51" s="9" t="e">
        <f>'Objekt (13)'!$O$11</f>
        <v>#DIV/0!</v>
      </c>
    </row>
    <row r="52" spans="1:9" s="13" customFormat="1" ht="18.75" customHeight="1" x14ac:dyDescent="0.2">
      <c r="A52" s="363" t="s">
        <v>240</v>
      </c>
      <c r="B52" s="313" t="str">
        <f>'Objekt (14)'!$O$2</f>
        <v>Turnhalle Eldingen</v>
      </c>
      <c r="C52" s="156">
        <f>'Objekt (14)'!$G$5</f>
        <v>194</v>
      </c>
      <c r="D52" s="156">
        <f>'Objekt (14)'!$G$6</f>
        <v>5</v>
      </c>
      <c r="E52" s="217">
        <f>'Objekt (14)'!$G$7</f>
        <v>777.3900000000001</v>
      </c>
      <c r="F52" s="157">
        <f>'Objekt (14)'!$G$10</f>
        <v>0</v>
      </c>
      <c r="G52" s="157">
        <f>'Objekt (14)'!$G$9</f>
        <v>0</v>
      </c>
      <c r="H52" s="217">
        <f>'Objekt (14)'!$G$8</f>
        <v>124265.764</v>
      </c>
      <c r="I52" s="9">
        <f>'Objekt (14)'!$G$11</f>
        <v>0</v>
      </c>
    </row>
    <row r="53" spans="1:9" s="13" customFormat="1" ht="18.75" customHeight="1" x14ac:dyDescent="0.2">
      <c r="A53" s="364"/>
      <c r="B53" s="313" t="str">
        <f t="shared" ref="B53" si="12">B52&amp;" (Grundreinigung)"</f>
        <v>Turnhalle Eldingen (Grundreinigung)</v>
      </c>
      <c r="C53" s="156"/>
      <c r="D53" s="156"/>
      <c r="E53" s="217"/>
      <c r="F53" s="157"/>
      <c r="G53" s="157">
        <f>'Objekt (14)'!$O$9</f>
        <v>0</v>
      </c>
      <c r="H53" s="217">
        <f>'Objekt (14)'!$O$8</f>
        <v>777.3900000000001</v>
      </c>
      <c r="I53" s="9" t="e">
        <f>'Objekt (14)'!$O$11</f>
        <v>#DIV/0!</v>
      </c>
    </row>
    <row r="54" spans="1:9" s="13" customFormat="1" ht="18.75" customHeight="1" x14ac:dyDescent="0.2">
      <c r="A54" s="363" t="s">
        <v>241</v>
      </c>
      <c r="B54" s="313" t="str">
        <f>'Objekt (15)'!$O$2</f>
        <v>Turnhalle Lachendorf</v>
      </c>
      <c r="C54" s="156">
        <f>'Objekt (15)'!$G$5</f>
        <v>214</v>
      </c>
      <c r="D54" s="156">
        <f>'Objekt (15)'!$G$6</f>
        <v>5</v>
      </c>
      <c r="E54" s="217">
        <f>'Objekt (15)'!$G$7</f>
        <v>1203.7600000000002</v>
      </c>
      <c r="F54" s="157">
        <f>'Objekt (15)'!$G$10</f>
        <v>0</v>
      </c>
      <c r="G54" s="157">
        <f>'Objekt (15)'!$G$9</f>
        <v>0</v>
      </c>
      <c r="H54" s="217">
        <f>'Objekt (15)'!$G$8</f>
        <v>239864.65600000002</v>
      </c>
      <c r="I54" s="9">
        <f>'Objekt (15)'!$G$11</f>
        <v>0</v>
      </c>
    </row>
    <row r="55" spans="1:9" s="13" customFormat="1" ht="18.75" customHeight="1" x14ac:dyDescent="0.2">
      <c r="A55" s="364"/>
      <c r="B55" s="313" t="str">
        <f t="shared" ref="B55" si="13">B54&amp;" (Grundreinigung)"</f>
        <v>Turnhalle Lachendorf (Grundreinigung)</v>
      </c>
      <c r="C55" s="156"/>
      <c r="D55" s="156"/>
      <c r="E55" s="217"/>
      <c r="F55" s="157"/>
      <c r="G55" s="157">
        <f>'Objekt (15)'!$O$9</f>
        <v>0</v>
      </c>
      <c r="H55" s="217">
        <f>'Objekt (15)'!$O$8</f>
        <v>1203.7600000000002</v>
      </c>
      <c r="I55" s="9" t="e">
        <f>'Objekt (15)'!$O$11</f>
        <v>#DIV/0!</v>
      </c>
    </row>
    <row r="56" spans="1:9" s="13" customFormat="1" ht="18.75" customHeight="1" x14ac:dyDescent="0.2">
      <c r="A56" s="363" t="s">
        <v>242</v>
      </c>
      <c r="B56" s="313" t="str">
        <f>'Objekt (16)'!$O$2</f>
        <v>Turnhalle Hohne</v>
      </c>
      <c r="C56" s="156">
        <f>'Objekt (16)'!$G$5</f>
        <v>194</v>
      </c>
      <c r="D56" s="156">
        <f>'Objekt (16)'!$G$6</f>
        <v>5</v>
      </c>
      <c r="E56" s="217">
        <f>'Objekt (16)'!$G$7</f>
        <v>660.22</v>
      </c>
      <c r="F56" s="157">
        <f>'Objekt (16)'!$G$10</f>
        <v>0</v>
      </c>
      <c r="G56" s="157">
        <f>'Objekt (16)'!$G$9</f>
        <v>0</v>
      </c>
      <c r="H56" s="217">
        <f>'Objekt (16)'!$G$8</f>
        <v>114825.57199999999</v>
      </c>
      <c r="I56" s="9">
        <f>'Objekt (16)'!$G$11</f>
        <v>0</v>
      </c>
    </row>
    <row r="57" spans="1:9" s="13" customFormat="1" ht="18.75" customHeight="1" x14ac:dyDescent="0.2">
      <c r="A57" s="364"/>
      <c r="B57" s="313" t="str">
        <f t="shared" ref="B57" si="14">B56&amp;" (Grundreinigung)"</f>
        <v>Turnhalle Hohne (Grundreinigung)</v>
      </c>
      <c r="C57" s="156"/>
      <c r="D57" s="156"/>
      <c r="E57" s="217"/>
      <c r="F57" s="157"/>
      <c r="G57" s="157">
        <f>'Objekt (16)'!$O$9</f>
        <v>0</v>
      </c>
      <c r="H57" s="217">
        <f>'Objekt (16)'!$O$8</f>
        <v>660.22</v>
      </c>
      <c r="I57" s="9" t="e">
        <f>'Objekt (16)'!$O$11</f>
        <v>#DIV/0!</v>
      </c>
    </row>
    <row r="58" spans="1:9" s="13" customFormat="1" ht="18.75" customHeight="1" x14ac:dyDescent="0.2">
      <c r="A58" s="363" t="s">
        <v>243</v>
      </c>
      <c r="B58" s="313" t="str">
        <f>'Objekt (17)'!$O$2</f>
        <v>Feuerwehr Lachendorf</v>
      </c>
      <c r="C58" s="156">
        <f>'Objekt (17)'!$G$5</f>
        <v>24</v>
      </c>
      <c r="D58" s="156">
        <f>'Objekt (17)'!$G$6</f>
        <v>2</v>
      </c>
      <c r="E58" s="217">
        <f>'Objekt (17)'!$G$7</f>
        <v>279.38</v>
      </c>
      <c r="F58" s="157">
        <f ca="1">'Objekt (17)'!$G$10</f>
        <v>0</v>
      </c>
      <c r="G58" s="157">
        <f ca="1">'Objekt (17)'!$G$9</f>
        <v>0</v>
      </c>
      <c r="H58" s="217">
        <f>'Objekt (17)'!$G$8</f>
        <v>6705.12</v>
      </c>
      <c r="I58" s="326">
        <f>'Objekt (17)'!$G$11</f>
        <v>0</v>
      </c>
    </row>
    <row r="59" spans="1:9" s="13" customFormat="1" ht="18.75" customHeight="1" x14ac:dyDescent="0.2">
      <c r="A59" s="364"/>
      <c r="B59" s="313" t="str">
        <f t="shared" ref="B59" si="15">B58&amp;" (Grundreinigung)"</f>
        <v>Feuerwehr Lachendorf (Grundreinigung)</v>
      </c>
      <c r="C59" s="156"/>
      <c r="D59" s="156"/>
      <c r="E59" s="217"/>
      <c r="F59" s="157"/>
      <c r="G59" s="157">
        <f ca="1">'Objekt (17)'!$O$9</f>
        <v>0</v>
      </c>
      <c r="H59" s="217">
        <f>'Objekt (17)'!$O$8</f>
        <v>0</v>
      </c>
      <c r="I59" s="326" t="e">
        <f ca="1">'Objekt (17)'!$O$11</f>
        <v>#DIV/0!</v>
      </c>
    </row>
    <row r="60" spans="1:9" s="13" customFormat="1" ht="18.75" customHeight="1" x14ac:dyDescent="0.2">
      <c r="A60" s="363" t="s">
        <v>244</v>
      </c>
      <c r="B60" s="313" t="str">
        <f>'Objekt (18)'!$O$2</f>
        <v>Feuerwehr Ahnsbeck</v>
      </c>
      <c r="C60" s="156">
        <f>'Objekt (18)'!$G$5</f>
        <v>12</v>
      </c>
      <c r="D60" s="156">
        <f>'Objekt (18)'!$G$6</f>
        <v>1</v>
      </c>
      <c r="E60" s="217">
        <f>'Objekt (18)'!$G$7</f>
        <v>98.93</v>
      </c>
      <c r="F60" s="157">
        <f ca="1">'Objekt (18)'!$G$10</f>
        <v>0</v>
      </c>
      <c r="G60" s="157">
        <f ca="1">'Objekt (18)'!$G$9</f>
        <v>0</v>
      </c>
      <c r="H60" s="217">
        <f>'Objekt (18)'!$G$8</f>
        <v>1187.1600000000001</v>
      </c>
      <c r="I60" s="326">
        <f>'Objekt (18)'!$G$11</f>
        <v>0</v>
      </c>
    </row>
    <row r="61" spans="1:9" s="13" customFormat="1" ht="18.75" customHeight="1" x14ac:dyDescent="0.2">
      <c r="A61" s="364"/>
      <c r="B61" s="313" t="str">
        <f t="shared" ref="B61" si="16">B60&amp;" (Grundreinigung)"</f>
        <v>Feuerwehr Ahnsbeck (Grundreinigung)</v>
      </c>
      <c r="C61" s="156"/>
      <c r="D61" s="156"/>
      <c r="E61" s="217"/>
      <c r="F61" s="157"/>
      <c r="G61" s="157">
        <f ca="1">'Objekt (18)'!$O$9</f>
        <v>0</v>
      </c>
      <c r="H61" s="217">
        <f>'Objekt (18)'!$O$8</f>
        <v>0</v>
      </c>
      <c r="I61" s="326" t="e">
        <f ca="1">'Objekt (18)'!$O$11</f>
        <v>#DIV/0!</v>
      </c>
    </row>
    <row r="62" spans="1:9" s="13" customFormat="1" ht="18.75" customHeight="1" x14ac:dyDescent="0.2">
      <c r="A62" s="363" t="s">
        <v>245</v>
      </c>
      <c r="B62" s="313" t="str">
        <f>'Objekt (19)'!$O$2</f>
        <v>Feuerwehr Bargfeld</v>
      </c>
      <c r="C62" s="156">
        <f>'Objekt (19)'!$G$5</f>
        <v>12</v>
      </c>
      <c r="D62" s="156">
        <f>'Objekt (19)'!$G$6</f>
        <v>1</v>
      </c>
      <c r="E62" s="217">
        <f>'Objekt (19)'!$G$7</f>
        <v>6.6199999999999992</v>
      </c>
      <c r="F62" s="157">
        <f ca="1">'Objekt (19)'!$G$10</f>
        <v>0</v>
      </c>
      <c r="G62" s="157">
        <f ca="1">'Objekt (19)'!$G$9</f>
        <v>0</v>
      </c>
      <c r="H62" s="217">
        <f>'Objekt (19)'!$G$8</f>
        <v>79.44</v>
      </c>
      <c r="I62" s="326">
        <f>'Objekt (19)'!$G$11</f>
        <v>0</v>
      </c>
    </row>
    <row r="63" spans="1:9" s="13" customFormat="1" ht="18.75" customHeight="1" x14ac:dyDescent="0.2">
      <c r="A63" s="364"/>
      <c r="B63" s="313" t="str">
        <f t="shared" ref="B63:B75" si="17">B62&amp;" (Grundreinigung)"</f>
        <v>Feuerwehr Bargfeld (Grundreinigung)</v>
      </c>
      <c r="C63" s="156"/>
      <c r="D63" s="156"/>
      <c r="E63" s="217"/>
      <c r="F63" s="157"/>
      <c r="G63" s="157">
        <f ca="1">'Objekt (19)'!$O$9</f>
        <v>0</v>
      </c>
      <c r="H63" s="217">
        <f>'Objekt (19)'!$O$8</f>
        <v>0</v>
      </c>
      <c r="I63" s="326" t="e">
        <f ca="1">'Objekt (19)'!$O$11</f>
        <v>#DIV/0!</v>
      </c>
    </row>
    <row r="64" spans="1:9" s="13" customFormat="1" ht="18.75" customHeight="1" x14ac:dyDescent="0.2">
      <c r="A64" s="363" t="s">
        <v>246</v>
      </c>
      <c r="B64" s="313" t="str">
        <f>'Objekt (20)'!$O$2</f>
        <v>Feuerwehr Beedenbostel</v>
      </c>
      <c r="C64" s="156">
        <f>'Objekt (20)'!$G$5</f>
        <v>12</v>
      </c>
      <c r="D64" s="156">
        <f>'Objekt (20)'!$G$6</f>
        <v>1</v>
      </c>
      <c r="E64" s="217">
        <f>'Objekt (20)'!$G$7</f>
        <v>176.68000000000004</v>
      </c>
      <c r="F64" s="157">
        <f ca="1">'Objekt (20)'!$G$10</f>
        <v>0</v>
      </c>
      <c r="G64" s="157">
        <f ca="1">'Objekt (20)'!$G$9</f>
        <v>0</v>
      </c>
      <c r="H64" s="217">
        <f>'Objekt (20)'!$G$8</f>
        <v>2120.1600000000003</v>
      </c>
      <c r="I64" s="326">
        <f>'Objekt (20)'!$G$11</f>
        <v>0</v>
      </c>
    </row>
    <row r="65" spans="1:13" s="13" customFormat="1" ht="18.75" customHeight="1" x14ac:dyDescent="0.2">
      <c r="A65" s="364"/>
      <c r="B65" s="313" t="str">
        <f t="shared" si="17"/>
        <v>Feuerwehr Beedenbostel (Grundreinigung)</v>
      </c>
      <c r="C65" s="156"/>
      <c r="D65" s="156"/>
      <c r="E65" s="217"/>
      <c r="F65" s="157"/>
      <c r="G65" s="157">
        <f ca="1">'Objekt (20)'!$O$9</f>
        <v>0</v>
      </c>
      <c r="H65" s="217">
        <f>'Objekt (20)'!$O$8</f>
        <v>0</v>
      </c>
      <c r="I65" s="326" t="e">
        <f ca="1">'Objekt (20)'!$O$11</f>
        <v>#DIV/0!</v>
      </c>
    </row>
    <row r="66" spans="1:13" s="13" customFormat="1" ht="18.75" customHeight="1" x14ac:dyDescent="0.2">
      <c r="A66" s="363" t="s">
        <v>247</v>
      </c>
      <c r="B66" s="313" t="str">
        <f>'Objekt (21)'!$O$2</f>
        <v>Feuerwehr Eldingen</v>
      </c>
      <c r="C66" s="156">
        <f>'Objekt (21)'!$G$5</f>
        <v>12</v>
      </c>
      <c r="D66" s="156">
        <f>'Objekt (21)'!$G$6</f>
        <v>1</v>
      </c>
      <c r="E66" s="327"/>
      <c r="F66" s="157">
        <f ca="1">'Objekt (21)'!$G$10</f>
        <v>0</v>
      </c>
      <c r="G66" s="157">
        <f ca="1">'Objekt (21)'!$G$9</f>
        <v>0</v>
      </c>
      <c r="H66" s="327">
        <f>'Objekt (21)'!$G$8</f>
        <v>0</v>
      </c>
      <c r="I66" s="326">
        <f>'Objekt (21)'!$G$11</f>
        <v>0</v>
      </c>
    </row>
    <row r="67" spans="1:13" s="13" customFormat="1" ht="18.75" customHeight="1" x14ac:dyDescent="0.2">
      <c r="A67" s="364"/>
      <c r="B67" s="313" t="str">
        <f t="shared" si="17"/>
        <v>Feuerwehr Eldingen (Grundreinigung)</v>
      </c>
      <c r="C67" s="156"/>
      <c r="D67" s="156"/>
      <c r="E67" s="217"/>
      <c r="F67" s="157"/>
      <c r="G67" s="157">
        <f ca="1">'Objekt (21)'!$O$9</f>
        <v>0</v>
      </c>
      <c r="H67" s="217">
        <f>'Objekt (21)'!$O$8</f>
        <v>0</v>
      </c>
      <c r="I67" s="326" t="e">
        <f ca="1">'Objekt (21)'!$O$11</f>
        <v>#DIV/0!</v>
      </c>
    </row>
    <row r="68" spans="1:13" s="13" customFormat="1" ht="18.75" customHeight="1" x14ac:dyDescent="0.2">
      <c r="A68" s="363" t="s">
        <v>248</v>
      </c>
      <c r="B68" s="313" t="str">
        <f>'Objekt (22)'!$O$2</f>
        <v>Feuerwehr Gockenholz</v>
      </c>
      <c r="C68" s="156">
        <f>'Objekt (22)'!$G$5</f>
        <v>12</v>
      </c>
      <c r="D68" s="156">
        <f>'Objekt (22)'!$G$6</f>
        <v>1</v>
      </c>
      <c r="E68" s="217">
        <f>'Objekt (22)'!$G$7</f>
        <v>3.52</v>
      </c>
      <c r="F68" s="157">
        <f ca="1">'Objekt (22)'!$G$10</f>
        <v>0</v>
      </c>
      <c r="G68" s="157">
        <f ca="1">'Objekt (22)'!$G$9</f>
        <v>0</v>
      </c>
      <c r="H68" s="217">
        <f>'Objekt (22)'!$G$8</f>
        <v>42.24</v>
      </c>
      <c r="I68" s="326">
        <f>'Objekt (22)'!$G$11</f>
        <v>0</v>
      </c>
    </row>
    <row r="69" spans="1:13" s="13" customFormat="1" ht="18.75" customHeight="1" x14ac:dyDescent="0.2">
      <c r="A69" s="364"/>
      <c r="B69" s="313" t="str">
        <f t="shared" si="17"/>
        <v>Feuerwehr Gockenholz (Grundreinigung)</v>
      </c>
      <c r="C69" s="156"/>
      <c r="D69" s="156"/>
      <c r="E69" s="217"/>
      <c r="F69" s="157"/>
      <c r="G69" s="157">
        <f ca="1">'Objekt (22)'!$O$9</f>
        <v>0</v>
      </c>
      <c r="H69" s="217">
        <f>'Objekt (22)'!$O$8</f>
        <v>0</v>
      </c>
      <c r="I69" s="326" t="e">
        <f ca="1">'Objekt (22)'!$O$11</f>
        <v>#DIV/0!</v>
      </c>
    </row>
    <row r="70" spans="1:13" s="13" customFormat="1" ht="18.75" customHeight="1" x14ac:dyDescent="0.2">
      <c r="A70" s="363" t="s">
        <v>249</v>
      </c>
      <c r="B70" s="313" t="str">
        <f>'Objekt (23)'!$O$2</f>
        <v>Feuerwehr Hohne</v>
      </c>
      <c r="C70" s="156">
        <f>'Objekt (23)'!$G$5</f>
        <v>12</v>
      </c>
      <c r="D70" s="156">
        <f>'Objekt (23)'!$G$6</f>
        <v>1</v>
      </c>
      <c r="E70" s="217">
        <f>'Objekt (23)'!$G$7</f>
        <v>87.43</v>
      </c>
      <c r="F70" s="157">
        <f ca="1">'Objekt (23)'!$G$10</f>
        <v>0</v>
      </c>
      <c r="G70" s="157">
        <f ca="1">'Objekt (23)'!$G$9</f>
        <v>0</v>
      </c>
      <c r="H70" s="217">
        <f>'Objekt (23)'!$G$8</f>
        <v>1049.1600000000001</v>
      </c>
      <c r="I70" s="326">
        <f>'Objekt (23)'!$G$11</f>
        <v>0</v>
      </c>
    </row>
    <row r="71" spans="1:13" s="13" customFormat="1" ht="18.75" customHeight="1" x14ac:dyDescent="0.2">
      <c r="A71" s="364"/>
      <c r="B71" s="313" t="str">
        <f t="shared" si="17"/>
        <v>Feuerwehr Hohne (Grundreinigung)</v>
      </c>
      <c r="C71" s="156"/>
      <c r="D71" s="156"/>
      <c r="E71" s="217"/>
      <c r="F71" s="157"/>
      <c r="G71" s="157">
        <f ca="1">'Objekt (23)'!$O$9</f>
        <v>0</v>
      </c>
      <c r="H71" s="217">
        <f>'Objekt (23)'!$O$8</f>
        <v>0</v>
      </c>
      <c r="I71" s="326" t="e">
        <f ca="1">'Objekt (23)'!$O$11</f>
        <v>#DIV/0!</v>
      </c>
    </row>
    <row r="72" spans="1:13" s="13" customFormat="1" ht="18.75" customHeight="1" x14ac:dyDescent="0.2">
      <c r="A72" s="363" t="s">
        <v>250</v>
      </c>
      <c r="B72" s="313" t="str">
        <f>'Objekt (24)'!$O$2</f>
        <v>Feuerwehr Hohnhorst</v>
      </c>
      <c r="C72" s="156">
        <f>'Objekt (24)'!$G$5</f>
        <v>12</v>
      </c>
      <c r="D72" s="156">
        <f>'Objekt (24)'!$G$6</f>
        <v>1</v>
      </c>
      <c r="E72" s="217">
        <f>'Objekt (24)'!$G$7</f>
        <v>1.9</v>
      </c>
      <c r="F72" s="157">
        <f ca="1">'Objekt (24)'!$G$10</f>
        <v>0</v>
      </c>
      <c r="G72" s="157">
        <f ca="1">'Objekt (24)'!$G$9</f>
        <v>0</v>
      </c>
      <c r="H72" s="217">
        <f>'Objekt (24)'!$G$8</f>
        <v>22.799999999999997</v>
      </c>
      <c r="I72" s="326">
        <f>'Objekt (24)'!$G$11</f>
        <v>0</v>
      </c>
    </row>
    <row r="73" spans="1:13" s="13" customFormat="1" ht="18.75" customHeight="1" x14ac:dyDescent="0.2">
      <c r="A73" s="364"/>
      <c r="B73" s="313" t="str">
        <f t="shared" si="17"/>
        <v>Feuerwehr Hohnhorst (Grundreinigung)</v>
      </c>
      <c r="C73" s="156"/>
      <c r="D73" s="156"/>
      <c r="E73" s="217"/>
      <c r="F73" s="157"/>
      <c r="G73" s="157">
        <f ca="1">'Objekt (24)'!$O$9</f>
        <v>0</v>
      </c>
      <c r="H73" s="217">
        <f>'Objekt (24)'!$O$8</f>
        <v>0</v>
      </c>
      <c r="I73" s="9" t="e">
        <f ca="1">'Objekt (24)'!$O$11</f>
        <v>#DIV/0!</v>
      </c>
    </row>
    <row r="74" spans="1:13" s="13" customFormat="1" ht="18.75" customHeight="1" x14ac:dyDescent="0.2">
      <c r="A74" s="363" t="s">
        <v>530</v>
      </c>
      <c r="B74" s="313" t="str">
        <f>'Objekt (25)'!$O$2</f>
        <v>Bauhof Lachendorf</v>
      </c>
      <c r="C74" s="156">
        <f>'Objekt (25)'!$G$5</f>
        <v>255</v>
      </c>
      <c r="D74" s="156">
        <f>'Objekt (25)'!$G$6</f>
        <v>5</v>
      </c>
      <c r="E74" s="217">
        <f>'Objekt (25)'!$G$7</f>
        <v>263.33999999999997</v>
      </c>
      <c r="F74" s="157">
        <f>'Objekt (25)'!$G$10</f>
        <v>0</v>
      </c>
      <c r="G74" s="157">
        <f>'Objekt (25)'!$G$9</f>
        <v>0</v>
      </c>
      <c r="H74" s="217">
        <f>'Objekt (25)'!$G$8</f>
        <v>44703.030000000006</v>
      </c>
      <c r="I74" s="9">
        <f>'Objekt (25)'!$G$11</f>
        <v>0</v>
      </c>
    </row>
    <row r="75" spans="1:13" s="13" customFormat="1" ht="18.75" customHeight="1" thickBot="1" x14ac:dyDescent="0.25">
      <c r="A75" s="364"/>
      <c r="B75" s="314" t="str">
        <f t="shared" si="17"/>
        <v>Bauhof Lachendorf (Grundreinigung)</v>
      </c>
      <c r="C75" s="156"/>
      <c r="D75" s="156"/>
      <c r="E75" s="217"/>
      <c r="F75" s="157"/>
      <c r="G75" s="157">
        <f>'Objekt (25)'!$O$9</f>
        <v>0</v>
      </c>
      <c r="H75" s="217">
        <f>'Objekt (25)'!$O$8</f>
        <v>263.33999999999997</v>
      </c>
      <c r="I75" s="9" t="e">
        <f>'Objekt (25)'!$O$11</f>
        <v>#DIV/0!</v>
      </c>
    </row>
    <row r="76" spans="1:13" s="13" customFormat="1" ht="30" customHeight="1" thickTop="1" thickBot="1" x14ac:dyDescent="0.25">
      <c r="A76" s="113"/>
      <c r="B76" s="15" t="s">
        <v>64</v>
      </c>
      <c r="C76" s="15"/>
      <c r="D76" s="15"/>
      <c r="E76" s="219">
        <f>SUM(E46:E75)</f>
        <v>9847.5800000000017</v>
      </c>
      <c r="F76" s="10">
        <f ca="1">SUM(F46:F75)</f>
        <v>0</v>
      </c>
      <c r="G76" s="10">
        <f ca="1">SUM(G46:G75)</f>
        <v>0</v>
      </c>
      <c r="H76" s="218">
        <f>SUM(H46:H75)</f>
        <v>1554738.2419999999</v>
      </c>
      <c r="I76" s="11"/>
    </row>
    <row r="77" spans="1:13" x14ac:dyDescent="0.2">
      <c r="K77" s="13"/>
      <c r="L77" s="13"/>
      <c r="M77" s="13"/>
    </row>
    <row r="78" spans="1:13" ht="13.5" thickBot="1" x14ac:dyDescent="0.25">
      <c r="K78" s="13"/>
      <c r="L78" s="13"/>
      <c r="M78" s="13"/>
    </row>
    <row r="79" spans="1:13" ht="26.45" customHeight="1" thickBot="1" x14ac:dyDescent="0.25">
      <c r="A79" s="1"/>
      <c r="B79" s="280"/>
      <c r="D79" s="1"/>
      <c r="E79" s="347"/>
      <c r="F79" s="348"/>
      <c r="G79" s="348"/>
      <c r="H79" s="348"/>
      <c r="I79" s="349"/>
    </row>
    <row r="80" spans="1:13" ht="14.25" x14ac:dyDescent="0.2">
      <c r="A80" s="1"/>
      <c r="B80" s="190" t="s">
        <v>221</v>
      </c>
      <c r="E80" s="191" t="s">
        <v>222</v>
      </c>
      <c r="F80" s="191"/>
    </row>
  </sheetData>
  <sheetProtection algorithmName="SHA-512" hashValue="8Xjhq0rr+WrBo3SppCe3H0QX32e4JNDJNhSgyhGyNYHZC6JIXDbXe2678uaBdQwCY9qhQaBaULxEUTyv8fz/hQ==" saltValue="F8kIBbc7bGouDPF1sSDMgQ==" spinCount="100000" sheet="1" objects="1" scenarios="1"/>
  <mergeCells count="34">
    <mergeCell ref="A48:A49"/>
    <mergeCell ref="A74:A75"/>
    <mergeCell ref="A60:A61"/>
    <mergeCell ref="A62:A63"/>
    <mergeCell ref="A64:A65"/>
    <mergeCell ref="A66:A67"/>
    <mergeCell ref="A68:A69"/>
    <mergeCell ref="A52:A53"/>
    <mergeCell ref="A54:A55"/>
    <mergeCell ref="A56:A57"/>
    <mergeCell ref="A58:A59"/>
    <mergeCell ref="A70:A71"/>
    <mergeCell ref="A72:A73"/>
    <mergeCell ref="A30:A31"/>
    <mergeCell ref="A32:A33"/>
    <mergeCell ref="A46:A47"/>
    <mergeCell ref="A28:A29"/>
    <mergeCell ref="A36:A37"/>
    <mergeCell ref="E79:I79"/>
    <mergeCell ref="A43:I43"/>
    <mergeCell ref="G5:I5"/>
    <mergeCell ref="A7:I7"/>
    <mergeCell ref="A10:A11"/>
    <mergeCell ref="A12:A13"/>
    <mergeCell ref="A14:A15"/>
    <mergeCell ref="A16:A17"/>
    <mergeCell ref="A18:A19"/>
    <mergeCell ref="A20:A21"/>
    <mergeCell ref="A22:A23"/>
    <mergeCell ref="A34:A35"/>
    <mergeCell ref="A38:A39"/>
    <mergeCell ref="A24:A25"/>
    <mergeCell ref="A26:A27"/>
    <mergeCell ref="A50:A51"/>
  </mergeCells>
  <phoneticPr fontId="5" type="noConversion"/>
  <conditionalFormatting sqref="F46:I76">
    <cfRule type="cellIs" dxfId="33" priority="3" stopIfTrue="1" operator="equal">
      <formula>0</formula>
    </cfRule>
  </conditionalFormatting>
  <conditionalFormatting sqref="G10:I40">
    <cfRule type="cellIs" dxfId="32" priority="8" stopIfTrue="1" operator="equal">
      <formula>0</formula>
    </cfRule>
  </conditionalFormatting>
  <hyperlinks>
    <hyperlink ref="B10:B11" location="'Objekt (11)'!A1" display="'Objekt (11)'!A1" xr:uid="{00000000-0004-0000-0000-000000000000}"/>
    <hyperlink ref="B12:B13" location="'Objekt (12)'!A1" display="'Objekt (12)'!A1" xr:uid="{00000000-0004-0000-0000-000001000000}"/>
    <hyperlink ref="B14:B15" location="'Objekt (13)'!A1" display="'Objekt (13)'!A1" xr:uid="{00000000-0004-0000-0000-000002000000}"/>
    <hyperlink ref="B16:B17" location="'Objekt (14)'!A1" display="'Objekt (14)'!A1" xr:uid="{00000000-0004-0000-0000-000003000000}"/>
    <hyperlink ref="B18:B19" location="'Objekt (15)'!A1" display="'Objekt (15)'!A1" xr:uid="{00000000-0004-0000-0000-000004000000}"/>
    <hyperlink ref="B20:B21" location="'Objekt (16)'!A1" display="'Objekt (16)'!A1" xr:uid="{00000000-0004-0000-0000-000005000000}"/>
    <hyperlink ref="B22:B23" location="'Objekt (17)'!A1" display="'Objekt (17)'!A1" xr:uid="{00000000-0004-0000-0000-000006000000}"/>
    <hyperlink ref="B24:B25" location="'Objekt (18)'!A1" display="'Objekt (18)'!A1" xr:uid="{00000000-0004-0000-0000-000007000000}"/>
    <hyperlink ref="B26:B27" location="'Objekt (19)'!A1" display="'Objekt (19)'!A1" xr:uid="{00000000-0004-0000-0000-000008000000}"/>
    <hyperlink ref="B28:B29" location="'Objekt (20)'!A1" display="'Objekt (20)'!A1" xr:uid="{00000000-0004-0000-0000-000009000000}"/>
    <hyperlink ref="B30:B31" location="'Objekt (21)'!A1" display="'Objekt (21)'!A1" xr:uid="{00000000-0004-0000-0000-00000A000000}"/>
    <hyperlink ref="B32:B33" location="'Objekt (22)'!A1" display="'Objekt (22)'!A1" xr:uid="{00000000-0004-0000-0000-00000B000000}"/>
    <hyperlink ref="B34:B35" location="'Objekt (23)'!A1" display="'Objekt (23)'!A1" xr:uid="{00000000-0004-0000-0000-00000C000000}"/>
    <hyperlink ref="B38:B39" location="'Objekt (25)'!A1" display="'Objekt (25)'!A1" xr:uid="{00000000-0004-0000-0000-00000D000000}"/>
    <hyperlink ref="B46:B47" location="'Objekt (11)'!A1" display="'Objekt (11)'!A1" xr:uid="{00000000-0004-0000-0000-00000E000000}"/>
    <hyperlink ref="B48:B49" location="'Objekt (12)'!A1" display="'Objekt (12)'!A1" xr:uid="{00000000-0004-0000-0000-00000F000000}"/>
    <hyperlink ref="B50:B51" location="'Objekt (13)'!A1" display="'Objekt (13)'!A1" xr:uid="{00000000-0004-0000-0000-000010000000}"/>
    <hyperlink ref="B52:B53" location="'Objekt (14)'!A1" display="'Objekt (14)'!A1" xr:uid="{00000000-0004-0000-0000-000011000000}"/>
    <hyperlink ref="B54:B55" location="'Objekt (15)'!A1" display="'Objekt (15)'!A1" xr:uid="{00000000-0004-0000-0000-000012000000}"/>
    <hyperlink ref="B56:B57" location="'Objekt (16)'!A1" display="'Objekt (16)'!A1" xr:uid="{00000000-0004-0000-0000-000013000000}"/>
    <hyperlink ref="B58:B59" location="'Objekt (17)'!A1" display="'Objekt (17)'!A1" xr:uid="{00000000-0004-0000-0000-000014000000}"/>
    <hyperlink ref="B60:B61" location="'Objekt (18)'!A1" display="'Objekt (18)'!A1" xr:uid="{00000000-0004-0000-0000-000015000000}"/>
    <hyperlink ref="B62:B63" location="'Objekt (19)'!A1" display="'Objekt (19)'!A1" xr:uid="{00000000-0004-0000-0000-000016000000}"/>
    <hyperlink ref="B64:B65" location="'Objekt (20)'!A1" display="'Objekt (20)'!A1" xr:uid="{00000000-0004-0000-0000-000017000000}"/>
    <hyperlink ref="B66:B67" location="'Objekt (21)'!A1" display="'Objekt (21)'!A1" xr:uid="{00000000-0004-0000-0000-000018000000}"/>
    <hyperlink ref="B68:B69" location="'Objekt (22)'!A1" display="'Objekt (22)'!A1" xr:uid="{00000000-0004-0000-0000-000019000000}"/>
    <hyperlink ref="B70:B71" location="'Objekt (23)'!A1" display="'Objekt (23)'!A1" xr:uid="{00000000-0004-0000-0000-00001A000000}"/>
    <hyperlink ref="B74:B75" location="'Objekt (24)'!A1" display="'Objekt (24)'!A1" xr:uid="{00000000-0004-0000-0000-00001B000000}"/>
  </hyperlinks>
  <printOptions horizontalCentered="1"/>
  <pageMargins left="0.55118110236220474" right="0.35433070866141736" top="0.31496062992125984" bottom="0.59" header="0.19685039370078741" footer="0.32"/>
  <pageSetup paperSize="9" scale="70" orientation="portrait" r:id="rId1"/>
  <headerFooter alignWithMargins="0">
    <oddFooter>&amp;L&amp;8Ausschreibung Unterhaltsreinigung
&amp;A&amp;R&amp;8© Lean Consulting</oddFooter>
  </headerFooter>
  <rowBreaks count="1" manualBreakCount="1">
    <brk id="42" max="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59999389629810485"/>
    <pageSetUpPr fitToPage="1"/>
  </sheetPr>
  <dimension ref="A1:Q64"/>
  <sheetViews>
    <sheetView zoomScale="90" zoomScaleNormal="90" workbookViewId="0"/>
  </sheetViews>
  <sheetFormatPr baseColWidth="10" defaultColWidth="11.42578125" defaultRowHeight="12.75" x14ac:dyDescent="0.2"/>
  <cols>
    <col min="1" max="1" width="5.140625" style="1" customWidth="1"/>
    <col min="2" max="2" width="6.5703125" style="1" customWidth="1"/>
    <col min="3" max="3" width="10.85546875" style="1" customWidth="1"/>
    <col min="4" max="4" width="7.140625" style="1" customWidth="1"/>
    <col min="5" max="5" width="38.7109375" style="1" customWidth="1"/>
    <col min="6" max="6" width="17.42578125" style="1" customWidth="1"/>
    <col min="7" max="7" width="16.5703125" style="27" bestFit="1" customWidth="1"/>
    <col min="8" max="8" width="7.140625" style="28" customWidth="1"/>
    <col min="9" max="11" width="6.85546875" style="29" customWidth="1"/>
    <col min="12" max="12" width="17.140625" style="27" customWidth="1"/>
    <col min="13" max="13" width="12.85546875" style="30" customWidth="1"/>
    <col min="14" max="14" width="11.42578125" style="1"/>
    <col min="15" max="15" width="18.5703125" style="31" customWidth="1"/>
    <col min="16" max="16" width="11.42578125" style="32"/>
    <col min="17" max="17" width="14.28515625" style="32" customWidth="1"/>
    <col min="18" max="16384" width="11.42578125" style="1"/>
  </cols>
  <sheetData>
    <row r="1" spans="5:17" ht="13.5" thickBot="1" x14ac:dyDescent="0.25"/>
    <row r="2" spans="5:17" s="39" customFormat="1" ht="25.5" customHeight="1" thickBot="1" x14ac:dyDescent="0.25">
      <c r="E2" s="33"/>
      <c r="F2" s="34"/>
      <c r="G2" s="35" t="str">
        <f>IF(Bieter&lt;&gt;"",Bieter,"Bietername fehlt !")</f>
        <v>Bietername fehlt !</v>
      </c>
      <c r="H2" s="164"/>
      <c r="I2" s="36"/>
      <c r="J2" s="36"/>
      <c r="K2" s="36"/>
      <c r="L2" s="33"/>
      <c r="M2" s="34"/>
      <c r="N2" s="37"/>
      <c r="O2" s="35" t="s">
        <v>255</v>
      </c>
      <c r="P2" s="152">
        <v>6</v>
      </c>
      <c r="Q2" s="38"/>
    </row>
    <row r="3" spans="5:17" ht="13.5" thickBot="1" x14ac:dyDescent="0.25"/>
    <row r="4" spans="5:17" s="42" customFormat="1" ht="25.5" customHeight="1" thickBot="1" x14ac:dyDescent="0.25">
      <c r="E4" s="116" t="s">
        <v>55</v>
      </c>
      <c r="F4" s="118"/>
      <c r="G4" s="119"/>
      <c r="H4" s="41"/>
      <c r="K4" s="43"/>
      <c r="L4" s="117" t="s">
        <v>56</v>
      </c>
      <c r="M4" s="138"/>
      <c r="N4" s="138"/>
      <c r="O4" s="139"/>
      <c r="P4" s="44"/>
      <c r="Q4" s="44"/>
    </row>
    <row r="5" spans="5:17" s="42" customFormat="1" ht="18.75" customHeight="1" x14ac:dyDescent="0.2">
      <c r="E5" s="120" t="s">
        <v>45</v>
      </c>
      <c r="F5" s="121"/>
      <c r="G5" s="122">
        <f>RT_Schule</f>
        <v>194</v>
      </c>
      <c r="H5" s="41"/>
      <c r="I5" s="45"/>
      <c r="L5" s="120" t="s">
        <v>60</v>
      </c>
      <c r="M5" s="121"/>
      <c r="N5" s="140"/>
      <c r="O5" s="141" t="s">
        <v>69</v>
      </c>
      <c r="P5" s="44"/>
      <c r="Q5" s="44"/>
    </row>
    <row r="6" spans="5:17" s="42" customFormat="1" ht="18.75" customHeight="1" x14ac:dyDescent="0.2">
      <c r="E6" s="120" t="s">
        <v>46</v>
      </c>
      <c r="F6" s="121"/>
      <c r="G6" s="122">
        <v>5</v>
      </c>
      <c r="H6" s="41"/>
      <c r="I6" s="45"/>
      <c r="L6" s="120"/>
      <c r="M6" s="121"/>
      <c r="N6" s="140"/>
      <c r="O6" s="142"/>
      <c r="P6" s="44"/>
      <c r="Q6" s="44"/>
    </row>
    <row r="7" spans="5:17" s="42" customFormat="1" ht="18.75" customHeight="1" x14ac:dyDescent="0.2">
      <c r="E7" s="120" t="s">
        <v>44</v>
      </c>
      <c r="F7" s="121"/>
      <c r="G7" s="123">
        <f>SUM($G$23:$G$45)</f>
        <v>777.3900000000001</v>
      </c>
      <c r="H7" s="41"/>
      <c r="I7" s="45"/>
      <c r="J7" s="45"/>
      <c r="L7" s="120" t="s">
        <v>44</v>
      </c>
      <c r="M7" s="121"/>
      <c r="N7" s="121"/>
      <c r="O7" s="143">
        <f>IF($O$5="JA",$G$54,0)</f>
        <v>777.3900000000001</v>
      </c>
      <c r="P7" s="44"/>
      <c r="Q7" s="44"/>
    </row>
    <row r="8" spans="5:17" s="42" customFormat="1" ht="18.75" customHeight="1" x14ac:dyDescent="0.2">
      <c r="E8" s="120" t="s">
        <v>48</v>
      </c>
      <c r="F8" s="121"/>
      <c r="G8" s="123">
        <f>SUM($L$23:$L$45)</f>
        <v>124265.764</v>
      </c>
      <c r="H8" s="41"/>
      <c r="I8" s="45"/>
      <c r="J8" s="45"/>
      <c r="L8" s="120" t="s">
        <v>48</v>
      </c>
      <c r="M8" s="121"/>
      <c r="N8" s="121"/>
      <c r="O8" s="143">
        <f>IF($O$5="JA",$L$54,0)</f>
        <v>777.3900000000001</v>
      </c>
      <c r="P8" s="44"/>
      <c r="Q8" s="44"/>
    </row>
    <row r="9" spans="5:17" s="42" customFormat="1" ht="18.75" customHeight="1" x14ac:dyDescent="0.2">
      <c r="E9" s="120" t="s">
        <v>49</v>
      </c>
      <c r="F9" s="121"/>
      <c r="G9" s="124">
        <f>SUM($O$23:$O$45)</f>
        <v>0</v>
      </c>
      <c r="H9" s="41"/>
      <c r="I9" s="45"/>
      <c r="J9" s="45"/>
      <c r="L9" s="120" t="s">
        <v>49</v>
      </c>
      <c r="M9" s="121"/>
      <c r="N9" s="121"/>
      <c r="O9" s="124">
        <f>IF($O$5="JA",$O$54,0)</f>
        <v>0</v>
      </c>
      <c r="P9" s="44"/>
      <c r="Q9" s="44"/>
    </row>
    <row r="10" spans="5:17" s="42" customFormat="1" ht="18.75" customHeight="1" x14ac:dyDescent="0.2">
      <c r="E10" s="120" t="s">
        <v>51</v>
      </c>
      <c r="F10" s="121"/>
      <c r="G10" s="124">
        <f>G9/G5</f>
        <v>0</v>
      </c>
      <c r="H10" s="41"/>
      <c r="I10" s="45"/>
      <c r="J10" s="45"/>
      <c r="L10" s="120"/>
      <c r="M10" s="121"/>
      <c r="N10" s="121"/>
      <c r="O10" s="144"/>
      <c r="P10" s="44"/>
      <c r="Q10" s="44"/>
    </row>
    <row r="11" spans="5:17" s="42" customFormat="1" ht="18.75" customHeight="1" x14ac:dyDescent="0.2">
      <c r="E11" s="120" t="s">
        <v>50</v>
      </c>
      <c r="F11" s="121"/>
      <c r="G11" s="125">
        <f>IF(G9&gt;0,G8/G9,0)</f>
        <v>0</v>
      </c>
      <c r="H11" s="41"/>
      <c r="I11" s="45"/>
      <c r="J11" s="45"/>
      <c r="L11" s="120" t="s">
        <v>50</v>
      </c>
      <c r="M11" s="121"/>
      <c r="N11" s="121"/>
      <c r="O11" s="125" t="e">
        <f>IF($O$5="JA",$O$8/$O$9,0)</f>
        <v>#DIV/0!</v>
      </c>
      <c r="P11" s="44"/>
      <c r="Q11" s="44"/>
    </row>
    <row r="12" spans="5:17" s="42" customFormat="1" ht="18.75" customHeight="1" thickBot="1" x14ac:dyDescent="0.25">
      <c r="E12" s="126" t="s">
        <v>57</v>
      </c>
      <c r="F12" s="127"/>
      <c r="G12" s="128">
        <f>IF(G9&gt;0,G14/G9,0)</f>
        <v>0</v>
      </c>
      <c r="H12" s="41"/>
      <c r="I12" s="45"/>
      <c r="J12" s="45"/>
      <c r="L12" s="126" t="s">
        <v>57</v>
      </c>
      <c r="M12" s="127"/>
      <c r="N12" s="127"/>
      <c r="O12" s="145" t="e">
        <f ca="1">IF($O$5="JA",$O$14/$O$9,0)</f>
        <v>#DIV/0!</v>
      </c>
      <c r="P12" s="44"/>
      <c r="Q12" s="44"/>
    </row>
    <row r="13" spans="5:17" s="42" customFormat="1" ht="6.75" customHeight="1" thickBot="1" x14ac:dyDescent="0.25">
      <c r="E13" s="121"/>
      <c r="F13" s="121"/>
      <c r="G13" s="129"/>
      <c r="H13" s="41"/>
      <c r="I13" s="45"/>
      <c r="J13" s="45"/>
      <c r="L13" s="121"/>
      <c r="M13" s="121"/>
      <c r="N13" s="121"/>
      <c r="O13" s="146"/>
      <c r="P13" s="44"/>
      <c r="Q13" s="44"/>
    </row>
    <row r="14" spans="5:17" s="42" customFormat="1" ht="18.75" customHeight="1" x14ac:dyDescent="0.2">
      <c r="E14" s="130" t="s">
        <v>65</v>
      </c>
      <c r="F14" s="131">
        <f ca="1">G14/G5</f>
        <v>0</v>
      </c>
      <c r="G14" s="132">
        <f ca="1">SUM(Q23:Q45)</f>
        <v>0</v>
      </c>
      <c r="H14" s="41"/>
      <c r="I14" s="45"/>
      <c r="J14" s="45"/>
      <c r="K14" s="46"/>
      <c r="L14" s="130" t="s">
        <v>52</v>
      </c>
      <c r="M14" s="147"/>
      <c r="N14" s="147"/>
      <c r="O14" s="148">
        <f ca="1">IF($O$5="JA",$Q$54,0)</f>
        <v>0</v>
      </c>
      <c r="P14" s="44"/>
      <c r="Q14" s="44"/>
    </row>
    <row r="15" spans="5:17" s="42" customFormat="1" ht="18.75" customHeight="1" x14ac:dyDescent="0.2">
      <c r="E15" s="133" t="s">
        <v>53</v>
      </c>
      <c r="F15" s="129"/>
      <c r="G15" s="134">
        <f ca="1">G14*0.19</f>
        <v>0</v>
      </c>
      <c r="H15" s="41"/>
      <c r="I15" s="45"/>
      <c r="J15" s="45"/>
      <c r="K15" s="46"/>
      <c r="L15" s="133" t="s">
        <v>53</v>
      </c>
      <c r="M15" s="121"/>
      <c r="N15" s="121"/>
      <c r="O15" s="149">
        <f ca="1">IF($O$5="JA",O14*0.19,0)</f>
        <v>0</v>
      </c>
      <c r="P15" s="44"/>
      <c r="Q15" s="44"/>
    </row>
    <row r="16" spans="5:17" s="42" customFormat="1" ht="18.75" customHeight="1" thickBot="1" x14ac:dyDescent="0.25">
      <c r="E16" s="135" t="s">
        <v>54</v>
      </c>
      <c r="F16" s="136"/>
      <c r="G16" s="137">
        <f ca="1">G14+G15</f>
        <v>0</v>
      </c>
      <c r="H16" s="41"/>
      <c r="I16" s="45"/>
      <c r="J16" s="45"/>
      <c r="K16" s="46"/>
      <c r="L16" s="135" t="s">
        <v>54</v>
      </c>
      <c r="M16" s="127"/>
      <c r="N16" s="127"/>
      <c r="O16" s="150">
        <f ca="1">IF(O14&lt;&gt;0,SUM(O14:O15),0)</f>
        <v>0</v>
      </c>
      <c r="P16" s="44"/>
      <c r="Q16" s="44"/>
    </row>
    <row r="17" spans="1:17" ht="6" customHeight="1" thickBot="1" x14ac:dyDescent="0.25">
      <c r="M17" s="1"/>
    </row>
    <row r="18" spans="1:17" ht="18" customHeight="1" thickBot="1" x14ac:dyDescent="0.25">
      <c r="A18" s="46"/>
      <c r="B18" s="46"/>
      <c r="C18" s="46"/>
      <c r="D18" s="46"/>
      <c r="E18" s="390" t="s">
        <v>63</v>
      </c>
      <c r="F18" s="391"/>
      <c r="G18" s="392"/>
      <c r="H18" s="47"/>
      <c r="I18" s="48"/>
      <c r="J18" s="48"/>
      <c r="K18" s="48"/>
      <c r="L18" s="393" t="s">
        <v>62</v>
      </c>
      <c r="M18" s="394"/>
      <c r="N18" s="394"/>
      <c r="O18" s="395"/>
      <c r="P18" s="49"/>
      <c r="Q18" s="49"/>
    </row>
    <row r="19" spans="1:17" ht="6" customHeight="1" thickBot="1" x14ac:dyDescent="0.25"/>
    <row r="20" spans="1:17" s="58" customFormat="1" x14ac:dyDescent="0.2">
      <c r="A20" s="50" t="s">
        <v>0</v>
      </c>
      <c r="B20" s="51" t="s">
        <v>40</v>
      </c>
      <c r="C20" s="51" t="s">
        <v>61</v>
      </c>
      <c r="D20" s="51" t="s">
        <v>41</v>
      </c>
      <c r="E20" s="52" t="s">
        <v>42</v>
      </c>
      <c r="F20" s="52" t="s">
        <v>24</v>
      </c>
      <c r="G20" s="53" t="s">
        <v>25</v>
      </c>
      <c r="H20" s="52" t="s">
        <v>1</v>
      </c>
      <c r="I20" s="396" t="s">
        <v>26</v>
      </c>
      <c r="J20" s="396"/>
      <c r="K20" s="396"/>
      <c r="L20" s="53" t="s">
        <v>33</v>
      </c>
      <c r="M20" s="54" t="s">
        <v>2</v>
      </c>
      <c r="N20" s="52" t="s">
        <v>15</v>
      </c>
      <c r="O20" s="55" t="s">
        <v>30</v>
      </c>
      <c r="P20" s="56" t="s">
        <v>13</v>
      </c>
      <c r="Q20" s="57" t="s">
        <v>31</v>
      </c>
    </row>
    <row r="21" spans="1:17" s="58" customFormat="1" ht="25.5" customHeight="1" thickBot="1" x14ac:dyDescent="0.25">
      <c r="A21" s="18"/>
      <c r="B21" s="19"/>
      <c r="C21" s="19"/>
      <c r="D21" s="19"/>
      <c r="E21" s="20" t="s">
        <v>43</v>
      </c>
      <c r="F21" s="20"/>
      <c r="G21" s="21" t="s">
        <v>32</v>
      </c>
      <c r="H21" s="20"/>
      <c r="I21" s="22" t="s">
        <v>27</v>
      </c>
      <c r="J21" s="22" t="s">
        <v>28</v>
      </c>
      <c r="K21" s="22" t="s">
        <v>29</v>
      </c>
      <c r="L21" s="21" t="s">
        <v>34</v>
      </c>
      <c r="M21" s="23" t="s">
        <v>35</v>
      </c>
      <c r="N21" s="20" t="s">
        <v>36</v>
      </c>
      <c r="O21" s="24" t="s">
        <v>37</v>
      </c>
      <c r="P21" s="25" t="s">
        <v>38</v>
      </c>
      <c r="Q21" s="26" t="s">
        <v>39</v>
      </c>
    </row>
    <row r="22" spans="1:17" ht="3.75" customHeight="1" x14ac:dyDescent="0.2">
      <c r="A22" s="68" t="s">
        <v>21</v>
      </c>
      <c r="B22" s="69" t="s">
        <v>21</v>
      </c>
      <c r="C22" s="69"/>
      <c r="D22" s="69" t="s">
        <v>21</v>
      </c>
      <c r="E22" s="69" t="s">
        <v>21</v>
      </c>
      <c r="F22" s="69" t="s">
        <v>21</v>
      </c>
      <c r="G22" s="70" t="s">
        <v>21</v>
      </c>
      <c r="H22" s="71" t="s">
        <v>21</v>
      </c>
      <c r="I22" s="72" t="s">
        <v>21</v>
      </c>
      <c r="J22" s="72" t="s">
        <v>21</v>
      </c>
      <c r="K22" s="72" t="s">
        <v>21</v>
      </c>
      <c r="L22" s="70" t="s">
        <v>21</v>
      </c>
      <c r="M22" s="73" t="s">
        <v>21</v>
      </c>
      <c r="N22" s="74" t="s">
        <v>21</v>
      </c>
      <c r="O22" s="75" t="s">
        <v>21</v>
      </c>
      <c r="P22" s="76" t="s">
        <v>21</v>
      </c>
      <c r="Q22" s="77" t="s">
        <v>21</v>
      </c>
    </row>
    <row r="23" spans="1:17" ht="24" customHeight="1" x14ac:dyDescent="0.2">
      <c r="A23" s="81">
        <v>1</v>
      </c>
      <c r="B23" s="82" t="s">
        <v>276</v>
      </c>
      <c r="C23" s="82"/>
      <c r="D23" s="82"/>
      <c r="E23" s="82" t="s">
        <v>379</v>
      </c>
      <c r="F23" s="82" t="s">
        <v>441</v>
      </c>
      <c r="G23" s="83">
        <v>45.53</v>
      </c>
      <c r="H23" s="245" t="s">
        <v>152</v>
      </c>
      <c r="I23" s="246">
        <f>VLOOKUP($H23,Leistungswerte!$A$8:$E$54,3,FALSE)</f>
        <v>5</v>
      </c>
      <c r="J23" s="246">
        <f>VLOOKUP($H23,Leistungswerte!$A$8:$E$54,4,FALSE)</f>
        <v>0</v>
      </c>
      <c r="K23" s="246">
        <f>VLOOKUP($H23,Leistungswerte!$A$8:$E$54,5,FALSE)</f>
        <v>0</v>
      </c>
      <c r="L23" s="83">
        <f t="shared" ref="L23:L44" si="0">($G$5/$G$6*I23+J23*12+K23)*G23</f>
        <v>8832.82</v>
      </c>
      <c r="M23" s="247">
        <f>VLOOKUP($H23,Leistungswerte!$A$8:$F$54,$P$2,FALSE)</f>
        <v>0</v>
      </c>
      <c r="N23" s="84">
        <f t="shared" ref="N23:N44" si="1">IF(M23&lt;&gt;0,G23/M23/24,0)</f>
        <v>0</v>
      </c>
      <c r="O23" s="80">
        <f t="shared" ref="O23:O44" si="2">IF(M23&lt;&gt;0,L23/M23,0)</f>
        <v>0</v>
      </c>
      <c r="P23" s="248">
        <f t="shared" ref="P23:P44" ca="1" si="3">SVS_UR</f>
        <v>0</v>
      </c>
      <c r="Q23" s="85">
        <f t="shared" ref="Q23:Q44" ca="1" si="4">O23*P23</f>
        <v>0</v>
      </c>
    </row>
    <row r="24" spans="1:17" ht="24" customHeight="1" x14ac:dyDescent="0.2">
      <c r="A24" s="81">
        <f t="shared" ref="A24:A44" si="5">A23+1</f>
        <v>2</v>
      </c>
      <c r="B24" s="82" t="s">
        <v>276</v>
      </c>
      <c r="C24" s="82"/>
      <c r="D24" s="82"/>
      <c r="E24" s="82" t="s">
        <v>272</v>
      </c>
      <c r="F24" s="82" t="s">
        <v>441</v>
      </c>
      <c r="G24" s="83">
        <v>3.92</v>
      </c>
      <c r="H24" s="245" t="s">
        <v>151</v>
      </c>
      <c r="I24" s="246">
        <f>VLOOKUP($H24,Leistungswerte!$A$8:$E$54,3,FALSE)</f>
        <v>5</v>
      </c>
      <c r="J24" s="246">
        <f>VLOOKUP($H24,Leistungswerte!$A$8:$E$54,4,FALSE)</f>
        <v>0</v>
      </c>
      <c r="K24" s="246">
        <f>VLOOKUP($H24,Leistungswerte!$A$8:$E$54,5,FALSE)</f>
        <v>0</v>
      </c>
      <c r="L24" s="83">
        <f t="shared" si="0"/>
        <v>760.48</v>
      </c>
      <c r="M24" s="247">
        <f>VLOOKUP($H24,Leistungswerte!$A$8:$F$54,$P$2,FALSE)</f>
        <v>0</v>
      </c>
      <c r="N24" s="84">
        <f t="shared" si="1"/>
        <v>0</v>
      </c>
      <c r="O24" s="80">
        <f t="shared" si="2"/>
        <v>0</v>
      </c>
      <c r="P24" s="248">
        <f t="shared" ca="1" si="3"/>
        <v>0</v>
      </c>
      <c r="Q24" s="85">
        <f t="shared" ca="1" si="4"/>
        <v>0</v>
      </c>
    </row>
    <row r="25" spans="1:17" ht="24" customHeight="1" x14ac:dyDescent="0.2">
      <c r="A25" s="81">
        <f t="shared" si="5"/>
        <v>3</v>
      </c>
      <c r="B25" s="82" t="s">
        <v>276</v>
      </c>
      <c r="C25" s="82"/>
      <c r="D25" s="82"/>
      <c r="E25" s="82" t="s">
        <v>268</v>
      </c>
      <c r="F25" s="82" t="s">
        <v>441</v>
      </c>
      <c r="G25" s="83">
        <v>38.700000000000003</v>
      </c>
      <c r="H25" s="245" t="s">
        <v>152</v>
      </c>
      <c r="I25" s="246">
        <f>VLOOKUP($H25,Leistungswerte!$A$8:$E$54,3,FALSE)</f>
        <v>5</v>
      </c>
      <c r="J25" s="246">
        <f>VLOOKUP($H25,Leistungswerte!$A$8:$E$54,4,FALSE)</f>
        <v>0</v>
      </c>
      <c r="K25" s="246">
        <f>VLOOKUP($H25,Leistungswerte!$A$8:$E$54,5,FALSE)</f>
        <v>0</v>
      </c>
      <c r="L25" s="83">
        <f t="shared" si="0"/>
        <v>7507.8</v>
      </c>
      <c r="M25" s="247">
        <f>VLOOKUP($H25,Leistungswerte!$A$8:$F$54,$P$2,FALSE)</f>
        <v>0</v>
      </c>
      <c r="N25" s="84">
        <f t="shared" si="1"/>
        <v>0</v>
      </c>
      <c r="O25" s="80">
        <f t="shared" si="2"/>
        <v>0</v>
      </c>
      <c r="P25" s="248">
        <f t="shared" ca="1" si="3"/>
        <v>0</v>
      </c>
      <c r="Q25" s="85">
        <f t="shared" ca="1" si="4"/>
        <v>0</v>
      </c>
    </row>
    <row r="26" spans="1:17" ht="24" customHeight="1" x14ac:dyDescent="0.2">
      <c r="A26" s="81">
        <f t="shared" si="5"/>
        <v>4</v>
      </c>
      <c r="B26" s="82" t="s">
        <v>276</v>
      </c>
      <c r="C26" s="82"/>
      <c r="D26" s="82"/>
      <c r="E26" s="82" t="s">
        <v>415</v>
      </c>
      <c r="F26" s="82" t="s">
        <v>436</v>
      </c>
      <c r="G26" s="83">
        <v>3.47</v>
      </c>
      <c r="H26" s="245" t="s">
        <v>149</v>
      </c>
      <c r="I26" s="246">
        <f>VLOOKUP($H26,Leistungswerte!$A$8:$E$54,3,FALSE)</f>
        <v>5</v>
      </c>
      <c r="J26" s="246">
        <f>VLOOKUP($H26,Leistungswerte!$A$8:$E$54,4,FALSE)</f>
        <v>0</v>
      </c>
      <c r="K26" s="246">
        <f>VLOOKUP($H26,Leistungswerte!$A$8:$E$54,5,FALSE)</f>
        <v>0</v>
      </c>
      <c r="L26" s="83">
        <f t="shared" si="0"/>
        <v>673.18000000000006</v>
      </c>
      <c r="M26" s="247">
        <f>VLOOKUP($H26,Leistungswerte!$A$8:$F$54,$P$2,FALSE)</f>
        <v>0</v>
      </c>
      <c r="N26" s="84">
        <f t="shared" si="1"/>
        <v>0</v>
      </c>
      <c r="O26" s="80">
        <f t="shared" si="2"/>
        <v>0</v>
      </c>
      <c r="P26" s="248">
        <f t="shared" ca="1" si="3"/>
        <v>0</v>
      </c>
      <c r="Q26" s="85">
        <f t="shared" ca="1" si="4"/>
        <v>0</v>
      </c>
    </row>
    <row r="27" spans="1:17" ht="24" customHeight="1" x14ac:dyDescent="0.2">
      <c r="A27" s="81">
        <f t="shared" si="5"/>
        <v>5</v>
      </c>
      <c r="B27" s="82" t="s">
        <v>276</v>
      </c>
      <c r="C27" s="82"/>
      <c r="D27" s="82"/>
      <c r="E27" s="82" t="s">
        <v>414</v>
      </c>
      <c r="F27" s="82" t="s">
        <v>436</v>
      </c>
      <c r="G27" s="83">
        <v>3.49</v>
      </c>
      <c r="H27" s="245" t="s">
        <v>149</v>
      </c>
      <c r="I27" s="246">
        <f>VLOOKUP($H27,Leistungswerte!$A$8:$E$54,3,FALSE)</f>
        <v>5</v>
      </c>
      <c r="J27" s="246">
        <f>VLOOKUP($H27,Leistungswerte!$A$8:$E$54,4,FALSE)</f>
        <v>0</v>
      </c>
      <c r="K27" s="246">
        <f>VLOOKUP($H27,Leistungswerte!$A$8:$E$54,5,FALSE)</f>
        <v>0</v>
      </c>
      <c r="L27" s="83">
        <f t="shared" si="0"/>
        <v>677.06000000000006</v>
      </c>
      <c r="M27" s="247">
        <f>VLOOKUP($H27,Leistungswerte!$A$8:$F$54,$P$2,FALSE)</f>
        <v>0</v>
      </c>
      <c r="N27" s="84">
        <f t="shared" si="1"/>
        <v>0</v>
      </c>
      <c r="O27" s="80">
        <f t="shared" si="2"/>
        <v>0</v>
      </c>
      <c r="P27" s="248">
        <f t="shared" ca="1" si="3"/>
        <v>0</v>
      </c>
      <c r="Q27" s="85">
        <f t="shared" ca="1" si="4"/>
        <v>0</v>
      </c>
    </row>
    <row r="28" spans="1:17" ht="24" customHeight="1" x14ac:dyDescent="0.2">
      <c r="A28" s="81">
        <f t="shared" si="5"/>
        <v>6</v>
      </c>
      <c r="B28" s="82" t="s">
        <v>276</v>
      </c>
      <c r="C28" s="82"/>
      <c r="D28" s="82"/>
      <c r="E28" s="82" t="s">
        <v>290</v>
      </c>
      <c r="F28" s="82" t="s">
        <v>441</v>
      </c>
      <c r="G28" s="83">
        <v>4.34</v>
      </c>
      <c r="H28" s="245" t="s">
        <v>16</v>
      </c>
      <c r="I28" s="246">
        <f>VLOOKUP($H28,Leistungswerte!$A$8:$E$54,3,FALSE)</f>
        <v>0</v>
      </c>
      <c r="J28" s="246">
        <f>VLOOKUP($H28,Leistungswerte!$A$8:$E$54,4,FALSE)</f>
        <v>0</v>
      </c>
      <c r="K28" s="246">
        <f>VLOOKUP($H28,Leistungswerte!$A$8:$E$54,5,FALSE)</f>
        <v>0</v>
      </c>
      <c r="L28" s="83">
        <f t="shared" si="0"/>
        <v>0</v>
      </c>
      <c r="M28" s="247">
        <f>VLOOKUP($H28,Leistungswerte!$A$8:$F$54,$P$2,FALSE)</f>
        <v>0</v>
      </c>
      <c r="N28" s="84">
        <f t="shared" si="1"/>
        <v>0</v>
      </c>
      <c r="O28" s="80">
        <f t="shared" si="2"/>
        <v>0</v>
      </c>
      <c r="P28" s="248">
        <f t="shared" ca="1" si="3"/>
        <v>0</v>
      </c>
      <c r="Q28" s="85">
        <f t="shared" ca="1" si="4"/>
        <v>0</v>
      </c>
    </row>
    <row r="29" spans="1:17" ht="24" customHeight="1" x14ac:dyDescent="0.2">
      <c r="A29" s="81">
        <f t="shared" si="5"/>
        <v>7</v>
      </c>
      <c r="B29" s="82" t="s">
        <v>276</v>
      </c>
      <c r="C29" s="82"/>
      <c r="D29" s="82"/>
      <c r="E29" s="82" t="s">
        <v>333</v>
      </c>
      <c r="F29" s="82" t="s">
        <v>441</v>
      </c>
      <c r="G29" s="83">
        <v>26.78</v>
      </c>
      <c r="H29" s="245" t="s">
        <v>85</v>
      </c>
      <c r="I29" s="246">
        <f>VLOOKUP($H29,Leistungswerte!$A$8:$E$54,3,FALSE)</f>
        <v>5</v>
      </c>
      <c r="J29" s="246">
        <f>VLOOKUP($H29,Leistungswerte!$A$8:$E$54,4,FALSE)</f>
        <v>0</v>
      </c>
      <c r="K29" s="246">
        <f>VLOOKUP($H29,Leistungswerte!$A$8:$E$54,5,FALSE)</f>
        <v>0</v>
      </c>
      <c r="L29" s="83">
        <f t="shared" si="0"/>
        <v>5195.3200000000006</v>
      </c>
      <c r="M29" s="247">
        <f>VLOOKUP($H29,Leistungswerte!$A$8:$F$54,$P$2,FALSE)</f>
        <v>0</v>
      </c>
      <c r="N29" s="84">
        <f t="shared" si="1"/>
        <v>0</v>
      </c>
      <c r="O29" s="80">
        <f t="shared" si="2"/>
        <v>0</v>
      </c>
      <c r="P29" s="248">
        <f t="shared" ca="1" si="3"/>
        <v>0</v>
      </c>
      <c r="Q29" s="85">
        <f t="shared" ca="1" si="4"/>
        <v>0</v>
      </c>
    </row>
    <row r="30" spans="1:17" ht="24" customHeight="1" x14ac:dyDescent="0.2">
      <c r="A30" s="81">
        <f t="shared" si="5"/>
        <v>8</v>
      </c>
      <c r="B30" s="82" t="s">
        <v>276</v>
      </c>
      <c r="C30" s="82"/>
      <c r="D30" s="82"/>
      <c r="E30" s="82" t="s">
        <v>286</v>
      </c>
      <c r="F30" s="82" t="s">
        <v>436</v>
      </c>
      <c r="G30" s="83">
        <v>3.21</v>
      </c>
      <c r="H30" s="245" t="s">
        <v>149</v>
      </c>
      <c r="I30" s="246">
        <f>VLOOKUP($H30,Leistungswerte!$A$8:$E$54,3,FALSE)</f>
        <v>5</v>
      </c>
      <c r="J30" s="246">
        <f>VLOOKUP($H30,Leistungswerte!$A$8:$E$54,4,FALSE)</f>
        <v>0</v>
      </c>
      <c r="K30" s="246">
        <f>VLOOKUP($H30,Leistungswerte!$A$8:$E$54,5,FALSE)</f>
        <v>0</v>
      </c>
      <c r="L30" s="83">
        <f t="shared" si="0"/>
        <v>622.74</v>
      </c>
      <c r="M30" s="247">
        <f>VLOOKUP($H30,Leistungswerte!$A$8:$F$54,$P$2,FALSE)</f>
        <v>0</v>
      </c>
      <c r="N30" s="84">
        <f t="shared" si="1"/>
        <v>0</v>
      </c>
      <c r="O30" s="80">
        <f t="shared" si="2"/>
        <v>0</v>
      </c>
      <c r="P30" s="248">
        <f t="shared" ca="1" si="3"/>
        <v>0</v>
      </c>
      <c r="Q30" s="85">
        <f t="shared" ca="1" si="4"/>
        <v>0</v>
      </c>
    </row>
    <row r="31" spans="1:17" ht="24" customHeight="1" x14ac:dyDescent="0.2">
      <c r="A31" s="81">
        <f t="shared" si="5"/>
        <v>9</v>
      </c>
      <c r="B31" s="82" t="s">
        <v>276</v>
      </c>
      <c r="C31" s="82"/>
      <c r="D31" s="82"/>
      <c r="E31" s="82" t="s">
        <v>461</v>
      </c>
      <c r="F31" s="82" t="s">
        <v>436</v>
      </c>
      <c r="G31" s="83">
        <v>2.93</v>
      </c>
      <c r="H31" s="245" t="s">
        <v>149</v>
      </c>
      <c r="I31" s="246">
        <f>VLOOKUP($H31,Leistungswerte!$A$8:$E$54,3,FALSE)</f>
        <v>5</v>
      </c>
      <c r="J31" s="246">
        <f>VLOOKUP($H31,Leistungswerte!$A$8:$E$54,4,FALSE)</f>
        <v>0</v>
      </c>
      <c r="K31" s="246">
        <f>VLOOKUP($H31,Leistungswerte!$A$8:$E$54,5,FALSE)</f>
        <v>0</v>
      </c>
      <c r="L31" s="83">
        <f t="shared" si="0"/>
        <v>568.42000000000007</v>
      </c>
      <c r="M31" s="247">
        <f>VLOOKUP($H31,Leistungswerte!$A$8:$F$54,$P$2,FALSE)</f>
        <v>0</v>
      </c>
      <c r="N31" s="84">
        <f t="shared" si="1"/>
        <v>0</v>
      </c>
      <c r="O31" s="80">
        <f t="shared" si="2"/>
        <v>0</v>
      </c>
      <c r="P31" s="248">
        <f t="shared" ca="1" si="3"/>
        <v>0</v>
      </c>
      <c r="Q31" s="85">
        <f t="shared" ca="1" si="4"/>
        <v>0</v>
      </c>
    </row>
    <row r="32" spans="1:17" ht="24" customHeight="1" x14ac:dyDescent="0.2">
      <c r="A32" s="81">
        <f t="shared" si="5"/>
        <v>10</v>
      </c>
      <c r="B32" s="82" t="s">
        <v>276</v>
      </c>
      <c r="C32" s="82"/>
      <c r="D32" s="82"/>
      <c r="E32" s="82" t="s">
        <v>380</v>
      </c>
      <c r="F32" s="82" t="s">
        <v>436</v>
      </c>
      <c r="G32" s="83">
        <v>15.32</v>
      </c>
      <c r="H32" s="245" t="s">
        <v>149</v>
      </c>
      <c r="I32" s="246">
        <f>VLOOKUP($H32,Leistungswerte!$A$8:$E$54,3,FALSE)</f>
        <v>5</v>
      </c>
      <c r="J32" s="246">
        <f>VLOOKUP($H32,Leistungswerte!$A$8:$E$54,4,FALSE)</f>
        <v>0</v>
      </c>
      <c r="K32" s="246">
        <f>VLOOKUP($H32,Leistungswerte!$A$8:$E$54,5,FALSE)</f>
        <v>0</v>
      </c>
      <c r="L32" s="83">
        <f t="shared" si="0"/>
        <v>2972.08</v>
      </c>
      <c r="M32" s="247">
        <f>VLOOKUP($H32,Leistungswerte!$A$8:$F$54,$P$2,FALSE)</f>
        <v>0</v>
      </c>
      <c r="N32" s="84">
        <f t="shared" si="1"/>
        <v>0</v>
      </c>
      <c r="O32" s="80">
        <f t="shared" si="2"/>
        <v>0</v>
      </c>
      <c r="P32" s="248">
        <f t="shared" ca="1" si="3"/>
        <v>0</v>
      </c>
      <c r="Q32" s="85">
        <f t="shared" ca="1" si="4"/>
        <v>0</v>
      </c>
    </row>
    <row r="33" spans="1:17" ht="24" customHeight="1" x14ac:dyDescent="0.2">
      <c r="A33" s="81">
        <f t="shared" si="5"/>
        <v>11</v>
      </c>
      <c r="B33" s="82" t="s">
        <v>276</v>
      </c>
      <c r="C33" s="82"/>
      <c r="D33" s="82"/>
      <c r="E33" s="82" t="s">
        <v>268</v>
      </c>
      <c r="F33" s="82" t="s">
        <v>441</v>
      </c>
      <c r="G33" s="83">
        <v>40.86</v>
      </c>
      <c r="H33" s="245" t="s">
        <v>152</v>
      </c>
      <c r="I33" s="246">
        <f>VLOOKUP($H33,Leistungswerte!$A$8:$E$54,3,FALSE)</f>
        <v>5</v>
      </c>
      <c r="J33" s="246">
        <f>VLOOKUP($H33,Leistungswerte!$A$8:$E$54,4,FALSE)</f>
        <v>0</v>
      </c>
      <c r="K33" s="246">
        <f>VLOOKUP($H33,Leistungswerte!$A$8:$E$54,5,FALSE)</f>
        <v>0</v>
      </c>
      <c r="L33" s="83">
        <f t="shared" si="0"/>
        <v>7926.84</v>
      </c>
      <c r="M33" s="247">
        <f>VLOOKUP($H33,Leistungswerte!$A$8:$F$54,$P$2,FALSE)</f>
        <v>0</v>
      </c>
      <c r="N33" s="84">
        <f t="shared" si="1"/>
        <v>0</v>
      </c>
      <c r="O33" s="80">
        <f t="shared" si="2"/>
        <v>0</v>
      </c>
      <c r="P33" s="248">
        <f t="shared" ca="1" si="3"/>
        <v>0</v>
      </c>
      <c r="Q33" s="85">
        <f t="shared" ca="1" si="4"/>
        <v>0</v>
      </c>
    </row>
    <row r="34" spans="1:17" ht="24" customHeight="1" x14ac:dyDescent="0.2">
      <c r="A34" s="81">
        <f t="shared" si="5"/>
        <v>12</v>
      </c>
      <c r="B34" s="82" t="s">
        <v>276</v>
      </c>
      <c r="C34" s="82"/>
      <c r="D34" s="82"/>
      <c r="E34" s="82" t="s">
        <v>381</v>
      </c>
      <c r="F34" s="82" t="s">
        <v>434</v>
      </c>
      <c r="G34" s="83">
        <v>405.39</v>
      </c>
      <c r="H34" s="245" t="s">
        <v>148</v>
      </c>
      <c r="I34" s="246">
        <f>VLOOKUP($H34,Leistungswerte!$A$8:$E$54,3,FALSE)</f>
        <v>5</v>
      </c>
      <c r="J34" s="246">
        <f>VLOOKUP($H34,Leistungswerte!$A$8:$E$54,4,FALSE)</f>
        <v>0</v>
      </c>
      <c r="K34" s="246">
        <f>VLOOKUP($H34,Leistungswerte!$A$8:$E$54,5,FALSE)</f>
        <v>0</v>
      </c>
      <c r="L34" s="83">
        <f t="shared" si="0"/>
        <v>78645.66</v>
      </c>
      <c r="M34" s="247">
        <f>VLOOKUP($H34,Leistungswerte!$A$8:$F$54,$P$2,FALSE)</f>
        <v>0</v>
      </c>
      <c r="N34" s="84">
        <f t="shared" si="1"/>
        <v>0</v>
      </c>
      <c r="O34" s="80">
        <f t="shared" si="2"/>
        <v>0</v>
      </c>
      <c r="P34" s="248">
        <f t="shared" ca="1" si="3"/>
        <v>0</v>
      </c>
      <c r="Q34" s="85">
        <f t="shared" ca="1" si="4"/>
        <v>0</v>
      </c>
    </row>
    <row r="35" spans="1:17" ht="24" customHeight="1" x14ac:dyDescent="0.2">
      <c r="A35" s="81">
        <f t="shared" si="5"/>
        <v>13</v>
      </c>
      <c r="B35" s="82" t="s">
        <v>276</v>
      </c>
      <c r="C35" s="82"/>
      <c r="D35" s="82"/>
      <c r="E35" s="82" t="s">
        <v>287</v>
      </c>
      <c r="F35" s="82" t="s">
        <v>434</v>
      </c>
      <c r="G35" s="83">
        <v>70.14</v>
      </c>
      <c r="H35" s="245" t="s">
        <v>16</v>
      </c>
      <c r="I35" s="246">
        <f>VLOOKUP($H35,Leistungswerte!$A$8:$E$54,3,FALSE)</f>
        <v>0</v>
      </c>
      <c r="J35" s="246">
        <f>VLOOKUP($H35,Leistungswerte!$A$8:$E$54,4,FALSE)</f>
        <v>0</v>
      </c>
      <c r="K35" s="246">
        <f>VLOOKUP($H35,Leistungswerte!$A$8:$E$54,5,FALSE)</f>
        <v>0</v>
      </c>
      <c r="L35" s="83">
        <f t="shared" si="0"/>
        <v>0</v>
      </c>
      <c r="M35" s="247">
        <f>VLOOKUP($H35,Leistungswerte!$A$8:$F$54,$P$2,FALSE)</f>
        <v>0</v>
      </c>
      <c r="N35" s="84">
        <f t="shared" si="1"/>
        <v>0</v>
      </c>
      <c r="O35" s="80">
        <f t="shared" si="2"/>
        <v>0</v>
      </c>
      <c r="P35" s="248">
        <f t="shared" ca="1" si="3"/>
        <v>0</v>
      </c>
      <c r="Q35" s="85">
        <f t="shared" ca="1" si="4"/>
        <v>0</v>
      </c>
    </row>
    <row r="36" spans="1:17" ht="24" customHeight="1" x14ac:dyDescent="0.2">
      <c r="A36" s="81">
        <f t="shared" si="5"/>
        <v>14</v>
      </c>
      <c r="B36" s="82" t="s">
        <v>276</v>
      </c>
      <c r="C36" s="82"/>
      <c r="D36" s="82"/>
      <c r="E36" s="82" t="s">
        <v>382</v>
      </c>
      <c r="F36" s="82" t="s">
        <v>441</v>
      </c>
      <c r="G36" s="83">
        <v>9.18</v>
      </c>
      <c r="H36" s="245" t="s">
        <v>153</v>
      </c>
      <c r="I36" s="246">
        <f>VLOOKUP($H36,Leistungswerte!$A$8:$E$54,3,FALSE)</f>
        <v>1</v>
      </c>
      <c r="J36" s="246">
        <f>VLOOKUP($H36,Leistungswerte!$A$8:$E$54,4,FALSE)</f>
        <v>0</v>
      </c>
      <c r="K36" s="246">
        <f>VLOOKUP($H36,Leistungswerte!$A$8:$E$54,5,FALSE)</f>
        <v>0</v>
      </c>
      <c r="L36" s="83">
        <f t="shared" si="0"/>
        <v>356.18399999999997</v>
      </c>
      <c r="M36" s="247">
        <f>VLOOKUP($H36,Leistungswerte!$A$8:$F$54,$P$2,FALSE)</f>
        <v>0</v>
      </c>
      <c r="N36" s="84">
        <f t="shared" si="1"/>
        <v>0</v>
      </c>
      <c r="O36" s="80">
        <f t="shared" si="2"/>
        <v>0</v>
      </c>
      <c r="P36" s="248">
        <f t="shared" ca="1" si="3"/>
        <v>0</v>
      </c>
      <c r="Q36" s="85">
        <f t="shared" ca="1" si="4"/>
        <v>0</v>
      </c>
    </row>
    <row r="37" spans="1:17" ht="24" customHeight="1" x14ac:dyDescent="0.2">
      <c r="A37" s="81">
        <f t="shared" si="5"/>
        <v>15</v>
      </c>
      <c r="B37" s="82" t="s">
        <v>276</v>
      </c>
      <c r="C37" s="82"/>
      <c r="D37" s="82"/>
      <c r="E37" s="82" t="s">
        <v>383</v>
      </c>
      <c r="F37" s="82" t="s">
        <v>436</v>
      </c>
      <c r="G37" s="83">
        <v>4.82</v>
      </c>
      <c r="H37" s="245" t="s">
        <v>16</v>
      </c>
      <c r="I37" s="246">
        <f>VLOOKUP($H37,Leistungswerte!$A$8:$E$54,3,FALSE)</f>
        <v>0</v>
      </c>
      <c r="J37" s="246">
        <f>VLOOKUP($H37,Leistungswerte!$A$8:$E$54,4,FALSE)</f>
        <v>0</v>
      </c>
      <c r="K37" s="246">
        <f>VLOOKUP($H37,Leistungswerte!$A$8:$E$54,5,FALSE)</f>
        <v>0</v>
      </c>
      <c r="L37" s="83">
        <f t="shared" si="0"/>
        <v>0</v>
      </c>
      <c r="M37" s="247">
        <f>VLOOKUP($H37,Leistungswerte!$A$8:$F$54,$P$2,FALSE)</f>
        <v>0</v>
      </c>
      <c r="N37" s="84">
        <f t="shared" si="1"/>
        <v>0</v>
      </c>
      <c r="O37" s="80">
        <f t="shared" si="2"/>
        <v>0</v>
      </c>
      <c r="P37" s="248">
        <f t="shared" ca="1" si="3"/>
        <v>0</v>
      </c>
      <c r="Q37" s="85">
        <f t="shared" ca="1" si="4"/>
        <v>0</v>
      </c>
    </row>
    <row r="38" spans="1:17" ht="24" customHeight="1" x14ac:dyDescent="0.2">
      <c r="A38" s="81">
        <f t="shared" si="5"/>
        <v>16</v>
      </c>
      <c r="B38" s="82" t="s">
        <v>276</v>
      </c>
      <c r="C38" s="82"/>
      <c r="D38" s="82"/>
      <c r="E38" s="82" t="s">
        <v>290</v>
      </c>
      <c r="F38" s="82" t="s">
        <v>441</v>
      </c>
      <c r="G38" s="83">
        <v>3.88</v>
      </c>
      <c r="H38" s="245" t="s">
        <v>16</v>
      </c>
      <c r="I38" s="246">
        <f>VLOOKUP($H38,Leistungswerte!$A$8:$E$54,3,FALSE)</f>
        <v>0</v>
      </c>
      <c r="J38" s="246">
        <f>VLOOKUP($H38,Leistungswerte!$A$8:$E$54,4,FALSE)</f>
        <v>0</v>
      </c>
      <c r="K38" s="246">
        <f>VLOOKUP($H38,Leistungswerte!$A$8:$E$54,5,FALSE)</f>
        <v>0</v>
      </c>
      <c r="L38" s="83">
        <f t="shared" si="0"/>
        <v>0</v>
      </c>
      <c r="M38" s="247">
        <f>VLOOKUP($H38,Leistungswerte!$A$8:$F$54,$P$2,FALSE)</f>
        <v>0</v>
      </c>
      <c r="N38" s="84">
        <f t="shared" si="1"/>
        <v>0</v>
      </c>
      <c r="O38" s="80">
        <f t="shared" si="2"/>
        <v>0</v>
      </c>
      <c r="P38" s="248">
        <f t="shared" ca="1" si="3"/>
        <v>0</v>
      </c>
      <c r="Q38" s="85">
        <f t="shared" ca="1" si="4"/>
        <v>0</v>
      </c>
    </row>
    <row r="39" spans="1:17" ht="24" customHeight="1" x14ac:dyDescent="0.2">
      <c r="A39" s="81">
        <f t="shared" si="5"/>
        <v>17</v>
      </c>
      <c r="B39" s="82" t="s">
        <v>276</v>
      </c>
      <c r="C39" s="82"/>
      <c r="D39" s="82"/>
      <c r="E39" s="82" t="s">
        <v>333</v>
      </c>
      <c r="F39" s="82" t="s">
        <v>441</v>
      </c>
      <c r="G39" s="83">
        <v>26.86</v>
      </c>
      <c r="H39" s="245" t="s">
        <v>85</v>
      </c>
      <c r="I39" s="246">
        <f>VLOOKUP($H39,Leistungswerte!$A$8:$E$54,3,FALSE)</f>
        <v>5</v>
      </c>
      <c r="J39" s="246">
        <f>VLOOKUP($H39,Leistungswerte!$A$8:$E$54,4,FALSE)</f>
        <v>0</v>
      </c>
      <c r="K39" s="246">
        <f>VLOOKUP($H39,Leistungswerte!$A$8:$E$54,5,FALSE)</f>
        <v>0</v>
      </c>
      <c r="L39" s="83">
        <f t="shared" si="0"/>
        <v>5210.84</v>
      </c>
      <c r="M39" s="247">
        <f>VLOOKUP($H39,Leistungswerte!$A$8:$F$54,$P$2,FALSE)</f>
        <v>0</v>
      </c>
      <c r="N39" s="84">
        <f t="shared" si="1"/>
        <v>0</v>
      </c>
      <c r="O39" s="80">
        <f t="shared" si="2"/>
        <v>0</v>
      </c>
      <c r="P39" s="248">
        <f t="shared" ca="1" si="3"/>
        <v>0</v>
      </c>
      <c r="Q39" s="85">
        <f t="shared" ca="1" si="4"/>
        <v>0</v>
      </c>
    </row>
    <row r="40" spans="1:17" ht="24" customHeight="1" x14ac:dyDescent="0.2">
      <c r="A40" s="81">
        <f t="shared" si="5"/>
        <v>18</v>
      </c>
      <c r="B40" s="82" t="s">
        <v>276</v>
      </c>
      <c r="C40" s="82"/>
      <c r="D40" s="82"/>
      <c r="E40" s="82" t="s">
        <v>461</v>
      </c>
      <c r="F40" s="82" t="s">
        <v>436</v>
      </c>
      <c r="G40" s="83">
        <v>2.95</v>
      </c>
      <c r="H40" s="245" t="s">
        <v>149</v>
      </c>
      <c r="I40" s="246">
        <f>VLOOKUP($H40,Leistungswerte!$A$8:$E$54,3,FALSE)</f>
        <v>5</v>
      </c>
      <c r="J40" s="246">
        <f>VLOOKUP($H40,Leistungswerte!$A$8:$E$54,4,FALSE)</f>
        <v>0</v>
      </c>
      <c r="K40" s="246">
        <f>VLOOKUP($H40,Leistungswerte!$A$8:$E$54,5,FALSE)</f>
        <v>0</v>
      </c>
      <c r="L40" s="83">
        <f t="shared" si="0"/>
        <v>572.30000000000007</v>
      </c>
      <c r="M40" s="247">
        <f>VLOOKUP($H40,Leistungswerte!$A$8:$F$54,$P$2,FALSE)</f>
        <v>0</v>
      </c>
      <c r="N40" s="84">
        <f t="shared" si="1"/>
        <v>0</v>
      </c>
      <c r="O40" s="80">
        <f t="shared" si="2"/>
        <v>0</v>
      </c>
      <c r="P40" s="248">
        <f t="shared" ca="1" si="3"/>
        <v>0</v>
      </c>
      <c r="Q40" s="85">
        <f t="shared" ca="1" si="4"/>
        <v>0</v>
      </c>
    </row>
    <row r="41" spans="1:17" ht="24" customHeight="1" x14ac:dyDescent="0.2">
      <c r="A41" s="81">
        <f t="shared" si="5"/>
        <v>19</v>
      </c>
      <c r="B41" s="82" t="s">
        <v>276</v>
      </c>
      <c r="C41" s="82"/>
      <c r="D41" s="82"/>
      <c r="E41" s="82" t="s">
        <v>380</v>
      </c>
      <c r="F41" s="82" t="s">
        <v>436</v>
      </c>
      <c r="G41" s="83">
        <v>15.41</v>
      </c>
      <c r="H41" s="245" t="s">
        <v>149</v>
      </c>
      <c r="I41" s="246">
        <f>VLOOKUP($H41,Leistungswerte!$A$8:$E$54,3,FALSE)</f>
        <v>5</v>
      </c>
      <c r="J41" s="246">
        <f>VLOOKUP($H41,Leistungswerte!$A$8:$E$54,4,FALSE)</f>
        <v>0</v>
      </c>
      <c r="K41" s="246">
        <f>VLOOKUP($H41,Leistungswerte!$A$8:$E$54,5,FALSE)</f>
        <v>0</v>
      </c>
      <c r="L41" s="83">
        <f t="shared" si="0"/>
        <v>2989.54</v>
      </c>
      <c r="M41" s="247">
        <f>VLOOKUP($H41,Leistungswerte!$A$8:$F$54,$P$2,FALSE)</f>
        <v>0</v>
      </c>
      <c r="N41" s="84">
        <f t="shared" si="1"/>
        <v>0</v>
      </c>
      <c r="O41" s="80">
        <f t="shared" si="2"/>
        <v>0</v>
      </c>
      <c r="P41" s="248">
        <f t="shared" ca="1" si="3"/>
        <v>0</v>
      </c>
      <c r="Q41" s="85">
        <f t="shared" ca="1" si="4"/>
        <v>0</v>
      </c>
    </row>
    <row r="42" spans="1:17" ht="24" customHeight="1" x14ac:dyDescent="0.2">
      <c r="A42" s="81">
        <f t="shared" si="5"/>
        <v>20</v>
      </c>
      <c r="B42" s="82" t="s">
        <v>276</v>
      </c>
      <c r="C42" s="82"/>
      <c r="D42" s="82"/>
      <c r="E42" s="82" t="s">
        <v>286</v>
      </c>
      <c r="F42" s="82" t="s">
        <v>436</v>
      </c>
      <c r="G42" s="83">
        <v>3.21</v>
      </c>
      <c r="H42" s="245" t="s">
        <v>149</v>
      </c>
      <c r="I42" s="246">
        <f>VLOOKUP($H42,Leistungswerte!$A$8:$E$54,3,FALSE)</f>
        <v>5</v>
      </c>
      <c r="J42" s="246">
        <f>VLOOKUP($H42,Leistungswerte!$A$8:$E$54,4,FALSE)</f>
        <v>0</v>
      </c>
      <c r="K42" s="246">
        <f>VLOOKUP($H42,Leistungswerte!$A$8:$E$54,5,FALSE)</f>
        <v>0</v>
      </c>
      <c r="L42" s="83">
        <f t="shared" si="0"/>
        <v>622.74</v>
      </c>
      <c r="M42" s="247">
        <f>VLOOKUP($H42,Leistungswerte!$A$8:$F$54,$P$2,FALSE)</f>
        <v>0</v>
      </c>
      <c r="N42" s="84">
        <f t="shared" si="1"/>
        <v>0</v>
      </c>
      <c r="O42" s="80">
        <f t="shared" si="2"/>
        <v>0</v>
      </c>
      <c r="P42" s="248">
        <f t="shared" ca="1" si="3"/>
        <v>0</v>
      </c>
      <c r="Q42" s="85">
        <f t="shared" ca="1" si="4"/>
        <v>0</v>
      </c>
    </row>
    <row r="43" spans="1:17" ht="24" customHeight="1" x14ac:dyDescent="0.2">
      <c r="A43" s="81">
        <f t="shared" si="5"/>
        <v>21</v>
      </c>
      <c r="B43" s="82" t="s">
        <v>276</v>
      </c>
      <c r="C43" s="82"/>
      <c r="D43" s="82"/>
      <c r="E43" s="82" t="s">
        <v>384</v>
      </c>
      <c r="F43" s="82" t="s">
        <v>436</v>
      </c>
      <c r="G43" s="83">
        <v>10.98</v>
      </c>
      <c r="H43" s="245" t="s">
        <v>460</v>
      </c>
      <c r="I43" s="246">
        <f>VLOOKUP($H43,Leistungswerte!$A$8:$E$54,3,FALSE)</f>
        <v>0</v>
      </c>
      <c r="J43" s="246">
        <f>VLOOKUP($H43,Leistungswerte!$A$8:$E$54,4,FALSE)</f>
        <v>1</v>
      </c>
      <c r="K43" s="246">
        <f>VLOOKUP($H43,Leistungswerte!$A$8:$E$54,5,FALSE)</f>
        <v>0</v>
      </c>
      <c r="L43" s="83">
        <f t="shared" si="0"/>
        <v>131.76</v>
      </c>
      <c r="M43" s="247">
        <f>VLOOKUP($H43,Leistungswerte!$A$8:$F$54,$P$2,FALSE)</f>
        <v>0</v>
      </c>
      <c r="N43" s="84">
        <f t="shared" si="1"/>
        <v>0</v>
      </c>
      <c r="O43" s="80">
        <f t="shared" si="2"/>
        <v>0</v>
      </c>
      <c r="P43" s="248">
        <f t="shared" ca="1" si="3"/>
        <v>0</v>
      </c>
      <c r="Q43" s="85">
        <f t="shared" ca="1" si="4"/>
        <v>0</v>
      </c>
    </row>
    <row r="44" spans="1:17" ht="24" customHeight="1" x14ac:dyDescent="0.2">
      <c r="A44" s="81">
        <f t="shared" si="5"/>
        <v>22</v>
      </c>
      <c r="B44" s="82" t="s">
        <v>276</v>
      </c>
      <c r="C44" s="82"/>
      <c r="D44" s="82"/>
      <c r="E44" s="82" t="s">
        <v>288</v>
      </c>
      <c r="F44" s="82" t="s">
        <v>441</v>
      </c>
      <c r="G44" s="83">
        <v>36.020000000000003</v>
      </c>
      <c r="H44" s="245" t="s">
        <v>16</v>
      </c>
      <c r="I44" s="246">
        <f>VLOOKUP($H44,Leistungswerte!$A$8:$E$54,3,FALSE)</f>
        <v>0</v>
      </c>
      <c r="J44" s="246">
        <f>VLOOKUP($H44,Leistungswerte!$A$8:$E$54,4,FALSE)</f>
        <v>0</v>
      </c>
      <c r="K44" s="246">
        <f>VLOOKUP($H44,Leistungswerte!$A$8:$E$54,5,FALSE)</f>
        <v>0</v>
      </c>
      <c r="L44" s="83">
        <f t="shared" si="0"/>
        <v>0</v>
      </c>
      <c r="M44" s="247">
        <f>VLOOKUP($H44,Leistungswerte!$A$8:$F$54,$P$2,FALSE)</f>
        <v>0</v>
      </c>
      <c r="N44" s="84">
        <f t="shared" si="1"/>
        <v>0</v>
      </c>
      <c r="O44" s="80">
        <f t="shared" si="2"/>
        <v>0</v>
      </c>
      <c r="P44" s="248">
        <f t="shared" ca="1" si="3"/>
        <v>0</v>
      </c>
      <c r="Q44" s="85">
        <f t="shared" ca="1" si="4"/>
        <v>0</v>
      </c>
    </row>
    <row r="45" spans="1:17" ht="3.75" customHeight="1" thickBot="1" x14ac:dyDescent="0.25">
      <c r="A45" s="86"/>
      <c r="B45" s="87"/>
      <c r="C45" s="87"/>
      <c r="D45" s="87"/>
      <c r="E45" s="87"/>
      <c r="F45" s="87"/>
      <c r="G45" s="88"/>
      <c r="H45" s="89"/>
      <c r="I45" s="90"/>
      <c r="J45" s="90"/>
      <c r="K45" s="90"/>
      <c r="L45" s="88"/>
      <c r="M45" s="91"/>
      <c r="N45" s="87"/>
      <c r="O45" s="92"/>
      <c r="P45" s="93"/>
      <c r="Q45" s="94"/>
    </row>
    <row r="46" spans="1:17" s="46" customFormat="1" ht="25.5" customHeight="1" thickBot="1" x14ac:dyDescent="0.25">
      <c r="A46" s="40" t="s">
        <v>47</v>
      </c>
      <c r="B46" s="95"/>
      <c r="C46" s="95"/>
      <c r="D46" s="95"/>
      <c r="E46" s="95"/>
      <c r="F46" s="96"/>
      <c r="G46" s="97">
        <f>SUBTOTAL(9,G23:G45)</f>
        <v>777.3900000000001</v>
      </c>
      <c r="H46" s="98"/>
      <c r="I46" s="99"/>
      <c r="J46" s="99"/>
      <c r="K46" s="99"/>
      <c r="L46" s="97">
        <f>SUBTOTAL(9,L23:L45)</f>
        <v>124265.764</v>
      </c>
      <c r="M46" s="100" t="e">
        <f>L46/O46</f>
        <v>#DIV/0!</v>
      </c>
      <c r="N46" s="95"/>
      <c r="O46" s="101">
        <f>SUBTOTAL(9,O23:O45)</f>
        <v>0</v>
      </c>
      <c r="P46" s="102"/>
      <c r="Q46" s="220">
        <f ca="1">SUBTOTAL(9,Q23:Q45)</f>
        <v>0</v>
      </c>
    </row>
    <row r="48" spans="1:17" ht="13.5" thickBot="1" x14ac:dyDescent="0.25"/>
    <row r="49" spans="1:17" s="58" customFormat="1" x14ac:dyDescent="0.2">
      <c r="A49" s="50" t="s">
        <v>0</v>
      </c>
      <c r="B49" s="51" t="s">
        <v>40</v>
      </c>
      <c r="C49" s="51"/>
      <c r="D49" s="51" t="s">
        <v>41</v>
      </c>
      <c r="E49" s="52" t="s">
        <v>42</v>
      </c>
      <c r="F49" s="52" t="s">
        <v>24</v>
      </c>
      <c r="G49" s="53" t="s">
        <v>25</v>
      </c>
      <c r="H49" s="52" t="s">
        <v>1</v>
      </c>
      <c r="I49" s="396" t="s">
        <v>26</v>
      </c>
      <c r="J49" s="396"/>
      <c r="K49" s="396"/>
      <c r="L49" s="53" t="s">
        <v>33</v>
      </c>
      <c r="M49" s="54" t="s">
        <v>2</v>
      </c>
      <c r="N49" s="52" t="s">
        <v>15</v>
      </c>
      <c r="O49" s="55" t="s">
        <v>30</v>
      </c>
      <c r="P49" s="56" t="s">
        <v>13</v>
      </c>
      <c r="Q49" s="57" t="s">
        <v>31</v>
      </c>
    </row>
    <row r="50" spans="1:17" s="58" customFormat="1" ht="25.5" customHeight="1" thickBot="1" x14ac:dyDescent="0.25">
      <c r="A50" s="59"/>
      <c r="B50" s="60"/>
      <c r="C50" s="60"/>
      <c r="D50" s="60"/>
      <c r="E50" s="61" t="s">
        <v>43</v>
      </c>
      <c r="F50" s="61"/>
      <c r="G50" s="62" t="s">
        <v>32</v>
      </c>
      <c r="H50" s="61"/>
      <c r="I50" s="63" t="s">
        <v>27</v>
      </c>
      <c r="J50" s="63" t="s">
        <v>28</v>
      </c>
      <c r="K50" s="63" t="s">
        <v>29</v>
      </c>
      <c r="L50" s="62" t="s">
        <v>34</v>
      </c>
      <c r="M50" s="64" t="s">
        <v>35</v>
      </c>
      <c r="N50" s="61" t="s">
        <v>36</v>
      </c>
      <c r="O50" s="65" t="s">
        <v>37</v>
      </c>
      <c r="P50" s="66" t="s">
        <v>38</v>
      </c>
      <c r="Q50" s="67" t="s">
        <v>39</v>
      </c>
    </row>
    <row r="51" spans="1:17" ht="3.75" customHeight="1" x14ac:dyDescent="0.2">
      <c r="A51" s="68" t="s">
        <v>21</v>
      </c>
      <c r="B51" s="69" t="s">
        <v>21</v>
      </c>
      <c r="C51" s="69"/>
      <c r="D51" s="69" t="s">
        <v>21</v>
      </c>
      <c r="E51" s="69" t="s">
        <v>21</v>
      </c>
      <c r="F51" s="69" t="s">
        <v>21</v>
      </c>
      <c r="G51" s="70" t="s">
        <v>21</v>
      </c>
      <c r="H51" s="71" t="s">
        <v>21</v>
      </c>
      <c r="I51" s="72" t="s">
        <v>21</v>
      </c>
      <c r="J51" s="72" t="s">
        <v>21</v>
      </c>
      <c r="K51" s="72" t="s">
        <v>21</v>
      </c>
      <c r="L51" s="70" t="s">
        <v>21</v>
      </c>
      <c r="M51" s="73" t="s">
        <v>21</v>
      </c>
      <c r="N51" s="74" t="s">
        <v>21</v>
      </c>
      <c r="O51" s="75" t="s">
        <v>21</v>
      </c>
      <c r="P51" s="76" t="s">
        <v>21</v>
      </c>
      <c r="Q51" s="77" t="s">
        <v>21</v>
      </c>
    </row>
    <row r="52" spans="1:17" ht="24" customHeight="1" x14ac:dyDescent="0.2">
      <c r="A52" s="81">
        <f>A44+1</f>
        <v>23</v>
      </c>
      <c r="B52" s="82"/>
      <c r="C52" s="82"/>
      <c r="D52" s="82"/>
      <c r="E52" s="82" t="s">
        <v>156</v>
      </c>
      <c r="F52" s="82"/>
      <c r="G52" s="83">
        <f>IF($O$5="JA",SUM(G23:G45),0)</f>
        <v>777.3900000000001</v>
      </c>
      <c r="H52" s="302" t="s">
        <v>83</v>
      </c>
      <c r="I52" s="79">
        <f>VLOOKUP($H52,Leistungswerte!$A$8:$E$54,3,FALSE)</f>
        <v>0</v>
      </c>
      <c r="J52" s="79">
        <f>VLOOKUP($H52,Leistungswerte!$A$8:$E$54,4,FALSE)</f>
        <v>0</v>
      </c>
      <c r="K52" s="79">
        <f>VLOOKUP($H52,Leistungswerte!$A$8:$E$54,5,FALSE)</f>
        <v>1</v>
      </c>
      <c r="L52" s="83">
        <f>($G$5/$G$6*I52+J52*12+K52)*G52</f>
        <v>777.3900000000001</v>
      </c>
      <c r="M52" s="163">
        <f>VLOOKUP($H52,Leistungswerte!$A$8:$F$54,$P$2,FALSE)</f>
        <v>0</v>
      </c>
      <c r="N52" s="84">
        <f>IF(M52&lt;&gt;0,G52/M52/24,0)</f>
        <v>0</v>
      </c>
      <c r="O52" s="80">
        <f>IF(M52&lt;&gt;0,L52/M52,0)</f>
        <v>0</v>
      </c>
      <c r="P52" s="162">
        <f ca="1">SVS_GR</f>
        <v>0</v>
      </c>
      <c r="Q52" s="85">
        <f ca="1">O52*P52</f>
        <v>0</v>
      </c>
    </row>
    <row r="53" spans="1:17" ht="3.75" customHeight="1" thickBot="1" x14ac:dyDescent="0.25">
      <c r="A53" s="103"/>
      <c r="B53" s="104"/>
      <c r="C53" s="104"/>
      <c r="D53" s="104"/>
      <c r="E53" s="104"/>
      <c r="F53" s="104"/>
      <c r="G53" s="105"/>
      <c r="H53" s="106"/>
      <c r="I53" s="107"/>
      <c r="J53" s="107"/>
      <c r="K53" s="107"/>
      <c r="L53" s="105"/>
      <c r="M53" s="108"/>
      <c r="N53" s="104"/>
      <c r="O53" s="109"/>
      <c r="P53" s="110"/>
      <c r="Q53" s="111"/>
    </row>
    <row r="54" spans="1:17" s="46" customFormat="1" ht="25.5" customHeight="1" thickBot="1" x14ac:dyDescent="0.25">
      <c r="A54" s="40" t="s">
        <v>58</v>
      </c>
      <c r="B54" s="95"/>
      <c r="C54" s="95"/>
      <c r="D54" s="95"/>
      <c r="E54" s="95"/>
      <c r="F54" s="96"/>
      <c r="G54" s="97">
        <f>SUM(G52:G53)</f>
        <v>777.3900000000001</v>
      </c>
      <c r="H54" s="98"/>
      <c r="I54" s="99"/>
      <c r="J54" s="99"/>
      <c r="K54" s="99"/>
      <c r="L54" s="97">
        <f>SUM(L52:L53)</f>
        <v>777.3900000000001</v>
      </c>
      <c r="M54" s="100" t="e">
        <f>L54/O54</f>
        <v>#DIV/0!</v>
      </c>
      <c r="N54" s="95"/>
      <c r="O54" s="101">
        <f>SUM(O52:O53)</f>
        <v>0</v>
      </c>
      <c r="P54" s="102"/>
      <c r="Q54" s="220">
        <f ca="1">SUM(Q52:Q53)</f>
        <v>0</v>
      </c>
    </row>
    <row r="56" spans="1:17" ht="13.5" thickBot="1" x14ac:dyDescent="0.25"/>
    <row r="57" spans="1:17" ht="18" customHeight="1" thickBot="1" x14ac:dyDescent="0.25">
      <c r="E57" s="397" t="s">
        <v>155</v>
      </c>
      <c r="F57" s="398"/>
      <c r="G57" s="398"/>
      <c r="H57" s="398"/>
      <c r="I57" s="398"/>
      <c r="J57" s="398"/>
      <c r="K57" s="398"/>
      <c r="L57" s="398"/>
      <c r="M57" s="398"/>
      <c r="N57" s="398"/>
      <c r="O57" s="399"/>
    </row>
    <row r="58" spans="1:17" ht="18" customHeight="1" x14ac:dyDescent="0.2">
      <c r="E58" s="277" t="s">
        <v>225</v>
      </c>
      <c r="F58" s="400" t="s">
        <v>320</v>
      </c>
      <c r="G58" s="400"/>
      <c r="H58" s="400"/>
      <c r="I58" s="400"/>
      <c r="J58" s="400"/>
      <c r="K58" s="400"/>
      <c r="L58" s="400"/>
      <c r="M58" s="400"/>
      <c r="N58" s="400"/>
      <c r="O58" s="401"/>
    </row>
    <row r="59" spans="1:17" ht="18" customHeight="1" x14ac:dyDescent="0.2">
      <c r="E59" s="275" t="s">
        <v>226</v>
      </c>
      <c r="F59" s="388" t="s">
        <v>473</v>
      </c>
      <c r="G59" s="388"/>
      <c r="H59" s="388"/>
      <c r="I59" s="388"/>
      <c r="J59" s="388"/>
      <c r="K59" s="388"/>
      <c r="L59" s="388"/>
      <c r="M59" s="388"/>
      <c r="N59" s="388"/>
      <c r="O59" s="389"/>
    </row>
    <row r="60" spans="1:17" ht="18" customHeight="1" x14ac:dyDescent="0.2">
      <c r="E60" s="275" t="s">
        <v>227</v>
      </c>
      <c r="F60" s="388" t="s">
        <v>474</v>
      </c>
      <c r="G60" s="388"/>
      <c r="H60" s="388"/>
      <c r="I60" s="388"/>
      <c r="J60" s="388"/>
      <c r="K60" s="388"/>
      <c r="L60" s="388"/>
      <c r="M60" s="388"/>
      <c r="N60" s="388"/>
      <c r="O60" s="389"/>
    </row>
    <row r="61" spans="1:17" ht="18" customHeight="1" x14ac:dyDescent="0.2">
      <c r="E61" s="275" t="s">
        <v>228</v>
      </c>
      <c r="F61" s="388" t="s">
        <v>69</v>
      </c>
      <c r="G61" s="388"/>
      <c r="H61" s="388"/>
      <c r="I61" s="388"/>
      <c r="J61" s="388"/>
      <c r="K61" s="388"/>
      <c r="L61" s="388"/>
      <c r="M61" s="388"/>
      <c r="N61" s="388"/>
      <c r="O61" s="389"/>
    </row>
    <row r="62" spans="1:17" ht="18" customHeight="1" x14ac:dyDescent="0.2">
      <c r="E62" s="275" t="s">
        <v>229</v>
      </c>
      <c r="F62" s="388" t="s">
        <v>487</v>
      </c>
      <c r="G62" s="388"/>
      <c r="H62" s="388"/>
      <c r="I62" s="388"/>
      <c r="J62" s="388"/>
      <c r="K62" s="388"/>
      <c r="L62" s="388"/>
      <c r="M62" s="388"/>
      <c r="N62" s="388"/>
      <c r="O62" s="389"/>
    </row>
    <row r="63" spans="1:17" ht="18" customHeight="1" x14ac:dyDescent="0.2">
      <c r="E63" s="275" t="s">
        <v>230</v>
      </c>
      <c r="F63" s="388" t="s">
        <v>476</v>
      </c>
      <c r="G63" s="388"/>
      <c r="H63" s="388"/>
      <c r="I63" s="388"/>
      <c r="J63" s="388"/>
      <c r="K63" s="388"/>
      <c r="L63" s="388"/>
      <c r="M63" s="388"/>
      <c r="N63" s="388"/>
      <c r="O63" s="389"/>
    </row>
    <row r="64" spans="1:17" ht="18" customHeight="1" thickBot="1" x14ac:dyDescent="0.25">
      <c r="E64" s="276" t="s">
        <v>231</v>
      </c>
      <c r="F64" s="402" t="s">
        <v>69</v>
      </c>
      <c r="G64" s="402"/>
      <c r="H64" s="402"/>
      <c r="I64" s="402"/>
      <c r="J64" s="402"/>
      <c r="K64" s="402"/>
      <c r="L64" s="402"/>
      <c r="M64" s="402"/>
      <c r="N64" s="402"/>
      <c r="O64" s="403"/>
    </row>
  </sheetData>
  <sheetProtection algorithmName="SHA-512" hashValue="xrarj5ILroBTzEfQXeWAjathUIDkU0eIs9sBqw1xnZiO2ir/yjuRatqyXU/C08mIyUlQ1h+YGQpaAtxJnf7pEA==" saltValue="/wRzsftqNlsXBciGK0s3rA==" spinCount="100000" sheet="1" autoFilter="0"/>
  <autoFilter ref="A21:Q44" xr:uid="{00000000-0009-0000-0000-000009000000}"/>
  <mergeCells count="12">
    <mergeCell ref="F64:O64"/>
    <mergeCell ref="F60:O60"/>
    <mergeCell ref="F61:O61"/>
    <mergeCell ref="F62:O62"/>
    <mergeCell ref="F63:O63"/>
    <mergeCell ref="F59:O59"/>
    <mergeCell ref="E18:G18"/>
    <mergeCell ref="L18:O18"/>
    <mergeCell ref="I20:K20"/>
    <mergeCell ref="I49:K49"/>
    <mergeCell ref="E57:O57"/>
    <mergeCell ref="F58:O58"/>
  </mergeCells>
  <conditionalFormatting sqref="O7:O16 I23:K44 I52:K52">
    <cfRule type="cellIs" dxfId="19" priority="3" stopIfTrue="1" operator="equal">
      <formula>0</formula>
    </cfRule>
  </conditionalFormatting>
  <hyperlinks>
    <hyperlink ref="E18:G18" location="Angebotsübersicht!A1" display="Zur Angebotsübersicht" xr:uid="{00000000-0004-0000-0900-000000000000}"/>
    <hyperlink ref="L18:O18" location="Leistungswerte!A1" display="Zu den Leistungswerten" xr:uid="{00000000-0004-0000-0900-000001000000}"/>
  </hyperlinks>
  <printOptions horizontalCentered="1"/>
  <pageMargins left="0.55118110236220474" right="0.35433070866141736" top="0.31496062992125984" bottom="0.51181102362204722" header="0.19685039370078741" footer="0.31496062992125984"/>
  <pageSetup paperSize="9" scale="67" fitToHeight="0" orientation="landscape" r:id="rId1"/>
  <headerFooter alignWithMargins="0">
    <oddFooter>&amp;L&amp;8Ausschreibung Unterhaltsreinigung
&amp;A&amp;R&amp;8© Lean Consulting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59999389629810485"/>
    <pageSetUpPr fitToPage="1"/>
  </sheetPr>
  <dimension ref="A1:Q57"/>
  <sheetViews>
    <sheetView zoomScale="90" zoomScaleNormal="90" workbookViewId="0"/>
  </sheetViews>
  <sheetFormatPr baseColWidth="10" defaultColWidth="11.42578125" defaultRowHeight="12.75" x14ac:dyDescent="0.2"/>
  <cols>
    <col min="1" max="1" width="5.140625" style="1" customWidth="1"/>
    <col min="2" max="2" width="6.5703125" style="1" customWidth="1"/>
    <col min="3" max="3" width="10.85546875" style="1" customWidth="1"/>
    <col min="4" max="4" width="7.140625" style="1" customWidth="1"/>
    <col min="5" max="5" width="38.7109375" style="1" customWidth="1"/>
    <col min="6" max="6" width="17.42578125" style="1" customWidth="1"/>
    <col min="7" max="7" width="16.5703125" style="27" bestFit="1" customWidth="1"/>
    <col min="8" max="8" width="7.140625" style="28" customWidth="1"/>
    <col min="9" max="11" width="6.85546875" style="29" customWidth="1"/>
    <col min="12" max="12" width="17.140625" style="27" customWidth="1"/>
    <col min="13" max="13" width="12.85546875" style="30" customWidth="1"/>
    <col min="14" max="14" width="11.42578125" style="1"/>
    <col min="15" max="15" width="18.5703125" style="31" customWidth="1"/>
    <col min="16" max="16" width="11.42578125" style="32"/>
    <col min="17" max="17" width="14.28515625" style="32" customWidth="1"/>
    <col min="18" max="16384" width="11.42578125" style="1"/>
  </cols>
  <sheetData>
    <row r="1" spans="5:17" ht="13.5" thickBot="1" x14ac:dyDescent="0.25"/>
    <row r="2" spans="5:17" s="39" customFormat="1" ht="25.5" customHeight="1" thickBot="1" x14ac:dyDescent="0.25">
      <c r="E2" s="33"/>
      <c r="F2" s="34"/>
      <c r="G2" s="35" t="str">
        <f>IF(Bieter&lt;&gt;"",Bieter,"Bietername fehlt !")</f>
        <v>Bietername fehlt !</v>
      </c>
      <c r="H2" s="164"/>
      <c r="I2" s="36"/>
      <c r="J2" s="36"/>
      <c r="K2" s="36"/>
      <c r="L2" s="33"/>
      <c r="M2" s="34"/>
      <c r="N2" s="37"/>
      <c r="O2" s="35" t="s">
        <v>256</v>
      </c>
      <c r="P2" s="152">
        <v>6</v>
      </c>
      <c r="Q2" s="38"/>
    </row>
    <row r="3" spans="5:17" ht="13.5" thickBot="1" x14ac:dyDescent="0.25"/>
    <row r="4" spans="5:17" s="42" customFormat="1" ht="25.5" customHeight="1" thickBot="1" x14ac:dyDescent="0.25">
      <c r="E4" s="116" t="s">
        <v>55</v>
      </c>
      <c r="F4" s="118"/>
      <c r="G4" s="119"/>
      <c r="H4" s="41"/>
      <c r="K4" s="43"/>
      <c r="L4" s="117" t="s">
        <v>56</v>
      </c>
      <c r="M4" s="138"/>
      <c r="N4" s="138"/>
      <c r="O4" s="139"/>
      <c r="P4" s="44"/>
      <c r="Q4" s="44"/>
    </row>
    <row r="5" spans="5:17" s="42" customFormat="1" ht="18.75" customHeight="1" x14ac:dyDescent="0.2">
      <c r="E5" s="120" t="s">
        <v>45</v>
      </c>
      <c r="F5" s="121"/>
      <c r="G5" s="122">
        <f>RT_Schule+10+10</f>
        <v>214</v>
      </c>
      <c r="H5" s="41"/>
      <c r="I5" s="45"/>
      <c r="L5" s="120" t="s">
        <v>60</v>
      </c>
      <c r="M5" s="121"/>
      <c r="N5" s="140"/>
      <c r="O5" s="141" t="s">
        <v>69</v>
      </c>
      <c r="P5" s="44"/>
      <c r="Q5" s="44"/>
    </row>
    <row r="6" spans="5:17" s="42" customFormat="1" ht="18.75" customHeight="1" x14ac:dyDescent="0.2">
      <c r="E6" s="120" t="s">
        <v>46</v>
      </c>
      <c r="F6" s="121"/>
      <c r="G6" s="122">
        <v>5</v>
      </c>
      <c r="H6" s="41"/>
      <c r="I6" s="45"/>
      <c r="L6" s="120"/>
      <c r="M6" s="121"/>
      <c r="N6" s="140"/>
      <c r="O6" s="142"/>
      <c r="P6" s="44"/>
      <c r="Q6" s="44"/>
    </row>
    <row r="7" spans="5:17" s="42" customFormat="1" ht="18.75" customHeight="1" x14ac:dyDescent="0.2">
      <c r="E7" s="120" t="s">
        <v>44</v>
      </c>
      <c r="F7" s="121"/>
      <c r="G7" s="123">
        <f>SUM($G$23:$G$38)</f>
        <v>1203.7600000000002</v>
      </c>
      <c r="H7" s="41"/>
      <c r="I7" s="45"/>
      <c r="J7" s="45"/>
      <c r="L7" s="120" t="s">
        <v>44</v>
      </c>
      <c r="M7" s="121"/>
      <c r="N7" s="121"/>
      <c r="O7" s="143">
        <f>IF($O$5="JA",$G$47,0)</f>
        <v>1203.7600000000002</v>
      </c>
      <c r="P7" s="44"/>
      <c r="Q7" s="44"/>
    </row>
    <row r="8" spans="5:17" s="42" customFormat="1" ht="18.75" customHeight="1" x14ac:dyDescent="0.2">
      <c r="E8" s="120" t="s">
        <v>48</v>
      </c>
      <c r="F8" s="121"/>
      <c r="G8" s="123">
        <f>SUM($L$23:$L$38)</f>
        <v>239864.65600000002</v>
      </c>
      <c r="H8" s="41"/>
      <c r="I8" s="45"/>
      <c r="J8" s="45"/>
      <c r="L8" s="120" t="s">
        <v>48</v>
      </c>
      <c r="M8" s="121"/>
      <c r="N8" s="121"/>
      <c r="O8" s="143">
        <f>IF($O$5="JA",$L$47,0)</f>
        <v>1203.7600000000002</v>
      </c>
      <c r="P8" s="44"/>
      <c r="Q8" s="44"/>
    </row>
    <row r="9" spans="5:17" s="42" customFormat="1" ht="18.75" customHeight="1" x14ac:dyDescent="0.2">
      <c r="E9" s="120" t="s">
        <v>49</v>
      </c>
      <c r="F9" s="121"/>
      <c r="G9" s="124">
        <f>SUM($O$23:$O$38)</f>
        <v>0</v>
      </c>
      <c r="H9" s="41"/>
      <c r="I9" s="45"/>
      <c r="J9" s="45"/>
      <c r="L9" s="120" t="s">
        <v>49</v>
      </c>
      <c r="M9" s="121"/>
      <c r="N9" s="121"/>
      <c r="O9" s="124">
        <f>IF($O$5="JA",$O$47,0)</f>
        <v>0</v>
      </c>
      <c r="P9" s="44"/>
      <c r="Q9" s="44"/>
    </row>
    <row r="10" spans="5:17" s="42" customFormat="1" ht="18.75" customHeight="1" x14ac:dyDescent="0.2">
      <c r="E10" s="120" t="s">
        <v>51</v>
      </c>
      <c r="F10" s="121"/>
      <c r="G10" s="124">
        <f>G9/G5</f>
        <v>0</v>
      </c>
      <c r="H10" s="41"/>
      <c r="I10" s="45"/>
      <c r="J10" s="45"/>
      <c r="L10" s="120"/>
      <c r="M10" s="121"/>
      <c r="N10" s="121"/>
      <c r="O10" s="144"/>
      <c r="P10" s="44"/>
      <c r="Q10" s="44"/>
    </row>
    <row r="11" spans="5:17" s="42" customFormat="1" ht="18.75" customHeight="1" x14ac:dyDescent="0.2">
      <c r="E11" s="120" t="s">
        <v>50</v>
      </c>
      <c r="F11" s="121"/>
      <c r="G11" s="125">
        <f>IF(G9&gt;0,G8/G9,0)</f>
        <v>0</v>
      </c>
      <c r="H11" s="41"/>
      <c r="I11" s="45"/>
      <c r="J11" s="45"/>
      <c r="L11" s="120" t="s">
        <v>50</v>
      </c>
      <c r="M11" s="121"/>
      <c r="N11" s="121"/>
      <c r="O11" s="125" t="e">
        <f>IF($O$5="JA",$O$8/$O$9,0)</f>
        <v>#DIV/0!</v>
      </c>
      <c r="P11" s="44"/>
      <c r="Q11" s="44"/>
    </row>
    <row r="12" spans="5:17" s="42" customFormat="1" ht="18.75" customHeight="1" thickBot="1" x14ac:dyDescent="0.25">
      <c r="E12" s="126" t="s">
        <v>57</v>
      </c>
      <c r="F12" s="127"/>
      <c r="G12" s="128">
        <f>IF(G9&gt;0,G14/G9,0)</f>
        <v>0</v>
      </c>
      <c r="H12" s="41"/>
      <c r="I12" s="45"/>
      <c r="J12" s="45"/>
      <c r="L12" s="126" t="s">
        <v>57</v>
      </c>
      <c r="M12" s="127"/>
      <c r="N12" s="127"/>
      <c r="O12" s="145" t="e">
        <f ca="1">IF($O$5="JA",$O$14/$O$9,0)</f>
        <v>#DIV/0!</v>
      </c>
      <c r="P12" s="44"/>
      <c r="Q12" s="44"/>
    </row>
    <row r="13" spans="5:17" s="42" customFormat="1" ht="6.75" customHeight="1" thickBot="1" x14ac:dyDescent="0.25">
      <c r="E13" s="121"/>
      <c r="F13" s="121"/>
      <c r="G13" s="129"/>
      <c r="H13" s="41"/>
      <c r="I13" s="45"/>
      <c r="J13" s="45"/>
      <c r="L13" s="121"/>
      <c r="M13" s="121"/>
      <c r="N13" s="121"/>
      <c r="O13" s="146"/>
      <c r="P13" s="44"/>
      <c r="Q13" s="44"/>
    </row>
    <row r="14" spans="5:17" s="42" customFormat="1" ht="18.75" customHeight="1" x14ac:dyDescent="0.2">
      <c r="E14" s="130" t="s">
        <v>65</v>
      </c>
      <c r="F14" s="131">
        <f ca="1">G14/G5</f>
        <v>0</v>
      </c>
      <c r="G14" s="132">
        <f ca="1">SUM(Q23:Q38)</f>
        <v>0</v>
      </c>
      <c r="H14" s="41"/>
      <c r="I14" s="45"/>
      <c r="J14" s="45"/>
      <c r="K14" s="46"/>
      <c r="L14" s="130" t="s">
        <v>52</v>
      </c>
      <c r="M14" s="147"/>
      <c r="N14" s="147"/>
      <c r="O14" s="148">
        <f ca="1">IF($O$5="JA",$Q$47,0)</f>
        <v>0</v>
      </c>
      <c r="P14" s="44"/>
      <c r="Q14" s="44"/>
    </row>
    <row r="15" spans="5:17" s="42" customFormat="1" ht="18.75" customHeight="1" x14ac:dyDescent="0.2">
      <c r="E15" s="133" t="s">
        <v>53</v>
      </c>
      <c r="F15" s="129"/>
      <c r="G15" s="134">
        <f ca="1">G14*0.19</f>
        <v>0</v>
      </c>
      <c r="H15" s="41"/>
      <c r="I15" s="45"/>
      <c r="J15" s="45"/>
      <c r="K15" s="46"/>
      <c r="L15" s="133" t="s">
        <v>53</v>
      </c>
      <c r="M15" s="121"/>
      <c r="N15" s="121"/>
      <c r="O15" s="149">
        <f ca="1">IF($O$5="JA",O14*0.19,0)</f>
        <v>0</v>
      </c>
      <c r="P15" s="44"/>
      <c r="Q15" s="44"/>
    </row>
    <row r="16" spans="5:17" s="42" customFormat="1" ht="18.75" customHeight="1" thickBot="1" x14ac:dyDescent="0.25">
      <c r="E16" s="135" t="s">
        <v>54</v>
      </c>
      <c r="F16" s="136"/>
      <c r="G16" s="137">
        <f ca="1">G14+G15</f>
        <v>0</v>
      </c>
      <c r="H16" s="41"/>
      <c r="I16" s="45"/>
      <c r="J16" s="45"/>
      <c r="K16" s="46"/>
      <c r="L16" s="135" t="s">
        <v>54</v>
      </c>
      <c r="M16" s="127"/>
      <c r="N16" s="127"/>
      <c r="O16" s="150">
        <f ca="1">IF(O14&lt;&gt;0,SUM(O14:O15),0)</f>
        <v>0</v>
      </c>
      <c r="P16" s="44"/>
      <c r="Q16" s="44"/>
    </row>
    <row r="17" spans="1:17" ht="6" customHeight="1" thickBot="1" x14ac:dyDescent="0.25">
      <c r="M17" s="1"/>
    </row>
    <row r="18" spans="1:17" ht="18" customHeight="1" thickBot="1" x14ac:dyDescent="0.25">
      <c r="A18" s="46"/>
      <c r="B18" s="46"/>
      <c r="C18" s="46"/>
      <c r="D18" s="46"/>
      <c r="E18" s="390" t="s">
        <v>63</v>
      </c>
      <c r="F18" s="391"/>
      <c r="G18" s="392"/>
      <c r="H18" s="47"/>
      <c r="I18" s="48"/>
      <c r="J18" s="48"/>
      <c r="K18" s="48"/>
      <c r="L18" s="393" t="s">
        <v>62</v>
      </c>
      <c r="M18" s="394"/>
      <c r="N18" s="394"/>
      <c r="O18" s="395"/>
      <c r="P18" s="49"/>
      <c r="Q18" s="49"/>
    </row>
    <row r="19" spans="1:17" ht="6" customHeight="1" thickBot="1" x14ac:dyDescent="0.25"/>
    <row r="20" spans="1:17" s="58" customFormat="1" x14ac:dyDescent="0.2">
      <c r="A20" s="50" t="s">
        <v>0</v>
      </c>
      <c r="B20" s="51" t="s">
        <v>40</v>
      </c>
      <c r="C20" s="51" t="s">
        <v>61</v>
      </c>
      <c r="D20" s="51" t="s">
        <v>41</v>
      </c>
      <c r="E20" s="52" t="s">
        <v>42</v>
      </c>
      <c r="F20" s="52" t="s">
        <v>24</v>
      </c>
      <c r="G20" s="53" t="s">
        <v>25</v>
      </c>
      <c r="H20" s="52" t="s">
        <v>1</v>
      </c>
      <c r="I20" s="396" t="s">
        <v>26</v>
      </c>
      <c r="J20" s="396"/>
      <c r="K20" s="396"/>
      <c r="L20" s="53" t="s">
        <v>33</v>
      </c>
      <c r="M20" s="54" t="s">
        <v>2</v>
      </c>
      <c r="N20" s="52" t="s">
        <v>15</v>
      </c>
      <c r="O20" s="55" t="s">
        <v>30</v>
      </c>
      <c r="P20" s="56" t="s">
        <v>13</v>
      </c>
      <c r="Q20" s="57" t="s">
        <v>31</v>
      </c>
    </row>
    <row r="21" spans="1:17" s="58" customFormat="1" ht="25.5" customHeight="1" thickBot="1" x14ac:dyDescent="0.25">
      <c r="A21" s="18"/>
      <c r="B21" s="19"/>
      <c r="C21" s="19"/>
      <c r="D21" s="19"/>
      <c r="E21" s="20" t="s">
        <v>43</v>
      </c>
      <c r="F21" s="20"/>
      <c r="G21" s="21" t="s">
        <v>32</v>
      </c>
      <c r="H21" s="20"/>
      <c r="I21" s="22" t="s">
        <v>27</v>
      </c>
      <c r="J21" s="22" t="s">
        <v>28</v>
      </c>
      <c r="K21" s="22" t="s">
        <v>29</v>
      </c>
      <c r="L21" s="21" t="s">
        <v>34</v>
      </c>
      <c r="M21" s="23" t="s">
        <v>35</v>
      </c>
      <c r="N21" s="20" t="s">
        <v>36</v>
      </c>
      <c r="O21" s="24" t="s">
        <v>37</v>
      </c>
      <c r="P21" s="25" t="s">
        <v>38</v>
      </c>
      <c r="Q21" s="26" t="s">
        <v>39</v>
      </c>
    </row>
    <row r="22" spans="1:17" ht="3.75" customHeight="1" x14ac:dyDescent="0.2">
      <c r="A22" s="68" t="s">
        <v>21</v>
      </c>
      <c r="B22" s="69" t="s">
        <v>21</v>
      </c>
      <c r="C22" s="69"/>
      <c r="D22" s="69" t="s">
        <v>21</v>
      </c>
      <c r="E22" s="69" t="s">
        <v>21</v>
      </c>
      <c r="F22" s="69" t="s">
        <v>21</v>
      </c>
      <c r="G22" s="70" t="s">
        <v>21</v>
      </c>
      <c r="H22" s="71" t="s">
        <v>21</v>
      </c>
      <c r="I22" s="72" t="s">
        <v>21</v>
      </c>
      <c r="J22" s="72" t="s">
        <v>21</v>
      </c>
      <c r="K22" s="72" t="s">
        <v>21</v>
      </c>
      <c r="L22" s="70" t="s">
        <v>21</v>
      </c>
      <c r="M22" s="73" t="s">
        <v>21</v>
      </c>
      <c r="N22" s="74" t="s">
        <v>21</v>
      </c>
      <c r="O22" s="75" t="s">
        <v>21</v>
      </c>
      <c r="P22" s="76" t="s">
        <v>21</v>
      </c>
      <c r="Q22" s="77" t="s">
        <v>21</v>
      </c>
    </row>
    <row r="23" spans="1:17" ht="24" customHeight="1" x14ac:dyDescent="0.2">
      <c r="A23" s="81">
        <v>1</v>
      </c>
      <c r="B23" s="82" t="s">
        <v>276</v>
      </c>
      <c r="C23" s="82"/>
      <c r="D23" s="82"/>
      <c r="E23" s="82" t="s">
        <v>267</v>
      </c>
      <c r="F23" s="82" t="s">
        <v>435</v>
      </c>
      <c r="G23" s="83">
        <v>4.9000000000000004</v>
      </c>
      <c r="H23" s="245" t="s">
        <v>150</v>
      </c>
      <c r="I23" s="246">
        <f>VLOOKUP($H23,Leistungswerte!$A$8:$E$54,3,FALSE)</f>
        <v>5</v>
      </c>
      <c r="J23" s="246">
        <f>VLOOKUP($H23,Leistungswerte!$A$8:$E$54,4,FALSE)</f>
        <v>0</v>
      </c>
      <c r="K23" s="246">
        <f>VLOOKUP($H23,Leistungswerte!$A$8:$E$54,5,FALSE)</f>
        <v>0</v>
      </c>
      <c r="L23" s="83">
        <f t="shared" ref="L23:L37" si="0">($G$5/$G$6*I23+J23*12+K23)*G23</f>
        <v>1048.6000000000001</v>
      </c>
      <c r="M23" s="247">
        <f>VLOOKUP($H23,Leistungswerte!$A$8:$F$54,$P$2,FALSE)</f>
        <v>0</v>
      </c>
      <c r="N23" s="84">
        <f t="shared" ref="N23:N37" si="1">IF(M23&lt;&gt;0,G23/M23/24,0)</f>
        <v>0</v>
      </c>
      <c r="O23" s="80">
        <f t="shared" ref="O23:O37" si="2">IF(M23&lt;&gt;0,L23/M23,0)</f>
        <v>0</v>
      </c>
      <c r="P23" s="248">
        <f t="shared" ref="P23:P37" ca="1" si="3">SVS_UR</f>
        <v>0</v>
      </c>
      <c r="Q23" s="85">
        <f t="shared" ref="Q23:Q37" ca="1" si="4">O23*P23</f>
        <v>0</v>
      </c>
    </row>
    <row r="24" spans="1:17" ht="24" customHeight="1" x14ac:dyDescent="0.2">
      <c r="A24" s="81">
        <f t="shared" ref="A24:A37" si="5">A23+1</f>
        <v>2</v>
      </c>
      <c r="B24" s="82" t="s">
        <v>276</v>
      </c>
      <c r="C24" s="82"/>
      <c r="D24" s="82"/>
      <c r="E24" s="82" t="s">
        <v>268</v>
      </c>
      <c r="F24" s="82" t="s">
        <v>434</v>
      </c>
      <c r="G24" s="83">
        <v>43.06</v>
      </c>
      <c r="H24" s="245" t="s">
        <v>152</v>
      </c>
      <c r="I24" s="246">
        <f>VLOOKUP($H24,Leistungswerte!$A$8:$E$54,3,FALSE)</f>
        <v>5</v>
      </c>
      <c r="J24" s="246">
        <f>VLOOKUP($H24,Leistungswerte!$A$8:$E$54,4,FALSE)</f>
        <v>0</v>
      </c>
      <c r="K24" s="246">
        <f>VLOOKUP($H24,Leistungswerte!$A$8:$E$54,5,FALSE)</f>
        <v>0</v>
      </c>
      <c r="L24" s="83">
        <f t="shared" si="0"/>
        <v>9214.84</v>
      </c>
      <c r="M24" s="247">
        <f>VLOOKUP($H24,Leistungswerte!$A$8:$F$54,$P$2,FALSE)</f>
        <v>0</v>
      </c>
      <c r="N24" s="84">
        <f t="shared" si="1"/>
        <v>0</v>
      </c>
      <c r="O24" s="80">
        <f t="shared" si="2"/>
        <v>0</v>
      </c>
      <c r="P24" s="248">
        <f t="shared" ca="1" si="3"/>
        <v>0</v>
      </c>
      <c r="Q24" s="85">
        <f t="shared" ca="1" si="4"/>
        <v>0</v>
      </c>
    </row>
    <row r="25" spans="1:17" ht="24" customHeight="1" x14ac:dyDescent="0.2">
      <c r="A25" s="81">
        <f t="shared" si="5"/>
        <v>3</v>
      </c>
      <c r="B25" s="82" t="s">
        <v>276</v>
      </c>
      <c r="C25" s="82"/>
      <c r="D25" s="82"/>
      <c r="E25" s="82" t="s">
        <v>273</v>
      </c>
      <c r="F25" s="82" t="s">
        <v>434</v>
      </c>
      <c r="G25" s="83">
        <v>3.36</v>
      </c>
      <c r="H25" s="245" t="s">
        <v>16</v>
      </c>
      <c r="I25" s="246">
        <f>VLOOKUP($H25,Leistungswerte!$A$8:$E$54,3,FALSE)</f>
        <v>0</v>
      </c>
      <c r="J25" s="246">
        <f>VLOOKUP($H25,Leistungswerte!$A$8:$E$54,4,FALSE)</f>
        <v>0</v>
      </c>
      <c r="K25" s="246">
        <f>VLOOKUP($H25,Leistungswerte!$A$8:$E$54,5,FALSE)</f>
        <v>0</v>
      </c>
      <c r="L25" s="83">
        <f t="shared" si="0"/>
        <v>0</v>
      </c>
      <c r="M25" s="247">
        <f>VLOOKUP($H25,Leistungswerte!$A$8:$F$54,$P$2,FALSE)</f>
        <v>0</v>
      </c>
      <c r="N25" s="84">
        <f t="shared" si="1"/>
        <v>0</v>
      </c>
      <c r="O25" s="80">
        <f t="shared" si="2"/>
        <v>0</v>
      </c>
      <c r="P25" s="248">
        <f t="shared" ca="1" si="3"/>
        <v>0</v>
      </c>
      <c r="Q25" s="85">
        <f t="shared" ca="1" si="4"/>
        <v>0</v>
      </c>
    </row>
    <row r="26" spans="1:17" ht="24" customHeight="1" x14ac:dyDescent="0.2">
      <c r="A26" s="81">
        <f t="shared" si="5"/>
        <v>4</v>
      </c>
      <c r="B26" s="82" t="s">
        <v>276</v>
      </c>
      <c r="C26" s="82"/>
      <c r="D26" s="82"/>
      <c r="E26" s="82" t="s">
        <v>446</v>
      </c>
      <c r="F26" s="82" t="s">
        <v>436</v>
      </c>
      <c r="G26" s="83">
        <v>8.68</v>
      </c>
      <c r="H26" s="245" t="s">
        <v>149</v>
      </c>
      <c r="I26" s="246">
        <f>VLOOKUP($H26,Leistungswerte!$A$8:$E$54,3,FALSE)</f>
        <v>5</v>
      </c>
      <c r="J26" s="246">
        <f>VLOOKUP($H26,Leistungswerte!$A$8:$E$54,4,FALSE)</f>
        <v>0</v>
      </c>
      <c r="K26" s="246">
        <f>VLOOKUP($H26,Leistungswerte!$A$8:$E$54,5,FALSE)</f>
        <v>0</v>
      </c>
      <c r="L26" s="83">
        <f t="shared" si="0"/>
        <v>1857.52</v>
      </c>
      <c r="M26" s="247">
        <f>VLOOKUP($H26,Leistungswerte!$A$8:$F$54,$P$2,FALSE)</f>
        <v>0</v>
      </c>
      <c r="N26" s="84">
        <f t="shared" si="1"/>
        <v>0</v>
      </c>
      <c r="O26" s="80">
        <f t="shared" si="2"/>
        <v>0</v>
      </c>
      <c r="P26" s="248">
        <f t="shared" ca="1" si="3"/>
        <v>0</v>
      </c>
      <c r="Q26" s="85">
        <f t="shared" ca="1" si="4"/>
        <v>0</v>
      </c>
    </row>
    <row r="27" spans="1:17" ht="24" customHeight="1" x14ac:dyDescent="0.2">
      <c r="A27" s="81">
        <f t="shared" si="5"/>
        <v>5</v>
      </c>
      <c r="B27" s="82" t="s">
        <v>276</v>
      </c>
      <c r="C27" s="82"/>
      <c r="D27" s="82"/>
      <c r="E27" s="82" t="s">
        <v>415</v>
      </c>
      <c r="F27" s="82" t="s">
        <v>436</v>
      </c>
      <c r="G27" s="83">
        <v>8.35</v>
      </c>
      <c r="H27" s="245" t="s">
        <v>149</v>
      </c>
      <c r="I27" s="246">
        <f>VLOOKUP($H27,Leistungswerte!$A$8:$E$54,3,FALSE)</f>
        <v>5</v>
      </c>
      <c r="J27" s="246">
        <f>VLOOKUP($H27,Leistungswerte!$A$8:$E$54,4,FALSE)</f>
        <v>0</v>
      </c>
      <c r="K27" s="246">
        <f>VLOOKUP($H27,Leistungswerte!$A$8:$E$54,5,FALSE)</f>
        <v>0</v>
      </c>
      <c r="L27" s="83">
        <f t="shared" si="0"/>
        <v>1786.8999999999999</v>
      </c>
      <c r="M27" s="247">
        <f>VLOOKUP($H27,Leistungswerte!$A$8:$F$54,$P$2,FALSE)</f>
        <v>0</v>
      </c>
      <c r="N27" s="84">
        <f t="shared" si="1"/>
        <v>0</v>
      </c>
      <c r="O27" s="80">
        <f t="shared" si="2"/>
        <v>0</v>
      </c>
      <c r="P27" s="248">
        <f t="shared" ca="1" si="3"/>
        <v>0</v>
      </c>
      <c r="Q27" s="85">
        <f t="shared" ca="1" si="4"/>
        <v>0</v>
      </c>
    </row>
    <row r="28" spans="1:17" ht="24" customHeight="1" x14ac:dyDescent="0.2">
      <c r="A28" s="81">
        <f t="shared" si="5"/>
        <v>6</v>
      </c>
      <c r="B28" s="82" t="s">
        <v>276</v>
      </c>
      <c r="C28" s="82"/>
      <c r="D28" s="82"/>
      <c r="E28" s="82" t="s">
        <v>463</v>
      </c>
      <c r="F28" s="82" t="s">
        <v>434</v>
      </c>
      <c r="G28" s="83">
        <v>22.21</v>
      </c>
      <c r="H28" s="245" t="s">
        <v>85</v>
      </c>
      <c r="I28" s="246">
        <f>VLOOKUP($H28,Leistungswerte!$A$8:$E$54,3,FALSE)</f>
        <v>5</v>
      </c>
      <c r="J28" s="246">
        <f>VLOOKUP($H28,Leistungswerte!$A$8:$E$54,4,FALSE)</f>
        <v>0</v>
      </c>
      <c r="K28" s="246">
        <f>VLOOKUP($H28,Leistungswerte!$A$8:$E$54,5,FALSE)</f>
        <v>0</v>
      </c>
      <c r="L28" s="83">
        <f t="shared" si="0"/>
        <v>4752.9400000000005</v>
      </c>
      <c r="M28" s="247">
        <f>VLOOKUP($H28,Leistungswerte!$A$8:$F$54,$P$2,FALSE)</f>
        <v>0</v>
      </c>
      <c r="N28" s="84">
        <f t="shared" si="1"/>
        <v>0</v>
      </c>
      <c r="O28" s="80">
        <f t="shared" si="2"/>
        <v>0</v>
      </c>
      <c r="P28" s="248">
        <f t="shared" ca="1" si="3"/>
        <v>0</v>
      </c>
      <c r="Q28" s="85">
        <f t="shared" ca="1" si="4"/>
        <v>0</v>
      </c>
    </row>
    <row r="29" spans="1:17" ht="24" customHeight="1" x14ac:dyDescent="0.2">
      <c r="A29" s="81">
        <f t="shared" si="5"/>
        <v>7</v>
      </c>
      <c r="B29" s="82" t="s">
        <v>276</v>
      </c>
      <c r="C29" s="82"/>
      <c r="D29" s="82"/>
      <c r="E29" s="82" t="s">
        <v>464</v>
      </c>
      <c r="F29" s="82" t="s">
        <v>436</v>
      </c>
      <c r="G29" s="83">
        <v>12.11</v>
      </c>
      <c r="H29" s="245" t="s">
        <v>149</v>
      </c>
      <c r="I29" s="246">
        <f>VLOOKUP($H29,Leistungswerte!$A$8:$E$54,3,FALSE)</f>
        <v>5</v>
      </c>
      <c r="J29" s="246">
        <f>VLOOKUP($H29,Leistungswerte!$A$8:$E$54,4,FALSE)</f>
        <v>0</v>
      </c>
      <c r="K29" s="246">
        <f>VLOOKUP($H29,Leistungswerte!$A$8:$E$54,5,FALSE)</f>
        <v>0</v>
      </c>
      <c r="L29" s="83">
        <f t="shared" si="0"/>
        <v>2591.54</v>
      </c>
      <c r="M29" s="247">
        <f>VLOOKUP($H29,Leistungswerte!$A$8:$F$54,$P$2,FALSE)</f>
        <v>0</v>
      </c>
      <c r="N29" s="84">
        <f t="shared" si="1"/>
        <v>0</v>
      </c>
      <c r="O29" s="80">
        <f t="shared" si="2"/>
        <v>0</v>
      </c>
      <c r="P29" s="248">
        <f t="shared" ca="1" si="3"/>
        <v>0</v>
      </c>
      <c r="Q29" s="85">
        <f t="shared" ca="1" si="4"/>
        <v>0</v>
      </c>
    </row>
    <row r="30" spans="1:17" ht="24" customHeight="1" x14ac:dyDescent="0.2">
      <c r="A30" s="81">
        <f t="shared" si="5"/>
        <v>8</v>
      </c>
      <c r="B30" s="82" t="s">
        <v>276</v>
      </c>
      <c r="C30" s="82"/>
      <c r="D30" s="82"/>
      <c r="E30" s="82" t="s">
        <v>382</v>
      </c>
      <c r="F30" s="82" t="s">
        <v>434</v>
      </c>
      <c r="G30" s="83">
        <v>6.02</v>
      </c>
      <c r="H30" s="245" t="s">
        <v>153</v>
      </c>
      <c r="I30" s="246">
        <f>VLOOKUP($H30,Leistungswerte!$A$8:$E$54,3,FALSE)</f>
        <v>1</v>
      </c>
      <c r="J30" s="246">
        <f>VLOOKUP($H30,Leistungswerte!$A$8:$E$54,4,FALSE)</f>
        <v>0</v>
      </c>
      <c r="K30" s="246">
        <f>VLOOKUP($H30,Leistungswerte!$A$8:$E$54,5,FALSE)</f>
        <v>0</v>
      </c>
      <c r="L30" s="83">
        <f t="shared" si="0"/>
        <v>257.65599999999995</v>
      </c>
      <c r="M30" s="247">
        <f>VLOOKUP($H30,Leistungswerte!$A$8:$F$54,$P$2,FALSE)</f>
        <v>0</v>
      </c>
      <c r="N30" s="84">
        <f t="shared" si="1"/>
        <v>0</v>
      </c>
      <c r="O30" s="80">
        <f t="shared" si="2"/>
        <v>0</v>
      </c>
      <c r="P30" s="248">
        <f t="shared" ca="1" si="3"/>
        <v>0</v>
      </c>
      <c r="Q30" s="85">
        <f t="shared" ca="1" si="4"/>
        <v>0</v>
      </c>
    </row>
    <row r="31" spans="1:17" ht="24" customHeight="1" x14ac:dyDescent="0.2">
      <c r="A31" s="81">
        <f t="shared" si="5"/>
        <v>9</v>
      </c>
      <c r="B31" s="82" t="s">
        <v>276</v>
      </c>
      <c r="C31" s="82"/>
      <c r="D31" s="82"/>
      <c r="E31" s="82" t="s">
        <v>462</v>
      </c>
      <c r="F31" s="82" t="s">
        <v>436</v>
      </c>
      <c r="G31" s="83">
        <v>4.2300000000000004</v>
      </c>
      <c r="H31" s="245" t="s">
        <v>149</v>
      </c>
      <c r="I31" s="246">
        <f>VLOOKUP($H31,Leistungswerte!$A$8:$E$54,3,FALSE)</f>
        <v>5</v>
      </c>
      <c r="J31" s="246">
        <f>VLOOKUP($H31,Leistungswerte!$A$8:$E$54,4,FALSE)</f>
        <v>0</v>
      </c>
      <c r="K31" s="246">
        <f>VLOOKUP($H31,Leistungswerte!$A$8:$E$54,5,FALSE)</f>
        <v>0</v>
      </c>
      <c r="L31" s="83">
        <f t="shared" si="0"/>
        <v>905.22000000000014</v>
      </c>
      <c r="M31" s="247">
        <f>VLOOKUP($H31,Leistungswerte!$A$8:$F$54,$P$2,FALSE)</f>
        <v>0</v>
      </c>
      <c r="N31" s="84">
        <f t="shared" si="1"/>
        <v>0</v>
      </c>
      <c r="O31" s="80">
        <f t="shared" si="2"/>
        <v>0</v>
      </c>
      <c r="P31" s="248">
        <f t="shared" ca="1" si="3"/>
        <v>0</v>
      </c>
      <c r="Q31" s="85">
        <f t="shared" ca="1" si="4"/>
        <v>0</v>
      </c>
    </row>
    <row r="32" spans="1:17" ht="24" customHeight="1" x14ac:dyDescent="0.2">
      <c r="A32" s="81">
        <f t="shared" si="5"/>
        <v>10</v>
      </c>
      <c r="B32" s="82" t="s">
        <v>276</v>
      </c>
      <c r="C32" s="82"/>
      <c r="D32" s="82"/>
      <c r="E32" s="82" t="s">
        <v>381</v>
      </c>
      <c r="F32" s="82" t="s">
        <v>434</v>
      </c>
      <c r="G32" s="83">
        <v>973.28</v>
      </c>
      <c r="H32" s="245" t="s">
        <v>148</v>
      </c>
      <c r="I32" s="246">
        <f>VLOOKUP($H32,Leistungswerte!$A$8:$E$54,3,FALSE)</f>
        <v>5</v>
      </c>
      <c r="J32" s="246">
        <f>VLOOKUP($H32,Leistungswerte!$A$8:$E$54,4,FALSE)</f>
        <v>0</v>
      </c>
      <c r="K32" s="246">
        <f>VLOOKUP($H32,Leistungswerte!$A$8:$E$54,5,FALSE)</f>
        <v>0</v>
      </c>
      <c r="L32" s="83">
        <f t="shared" si="0"/>
        <v>208281.91999999998</v>
      </c>
      <c r="M32" s="247">
        <f>VLOOKUP($H32,Leistungswerte!$A$8:$F$54,$P$2,FALSE)</f>
        <v>0</v>
      </c>
      <c r="N32" s="84">
        <f t="shared" si="1"/>
        <v>0</v>
      </c>
      <c r="O32" s="80">
        <f t="shared" si="2"/>
        <v>0</v>
      </c>
      <c r="P32" s="248">
        <f t="shared" ca="1" si="3"/>
        <v>0</v>
      </c>
      <c r="Q32" s="85">
        <f t="shared" ca="1" si="4"/>
        <v>0</v>
      </c>
    </row>
    <row r="33" spans="1:17" ht="24" customHeight="1" x14ac:dyDescent="0.2">
      <c r="A33" s="81">
        <f t="shared" si="5"/>
        <v>11</v>
      </c>
      <c r="B33" s="82" t="s">
        <v>276</v>
      </c>
      <c r="C33" s="82"/>
      <c r="D33" s="82"/>
      <c r="E33" s="82" t="s">
        <v>385</v>
      </c>
      <c r="F33" s="82" t="s">
        <v>434</v>
      </c>
      <c r="G33" s="83">
        <v>59.66</v>
      </c>
      <c r="H33" s="245" t="s">
        <v>460</v>
      </c>
      <c r="I33" s="246">
        <f>VLOOKUP($H33,Leistungswerte!$A$8:$E$54,3,FALSE)</f>
        <v>0</v>
      </c>
      <c r="J33" s="246">
        <f>VLOOKUP($H33,Leistungswerte!$A$8:$E$54,4,FALSE)</f>
        <v>1</v>
      </c>
      <c r="K33" s="246">
        <f>VLOOKUP($H33,Leistungswerte!$A$8:$E$54,5,FALSE)</f>
        <v>0</v>
      </c>
      <c r="L33" s="83">
        <f t="shared" si="0"/>
        <v>715.92</v>
      </c>
      <c r="M33" s="247">
        <f>VLOOKUP($H33,Leistungswerte!$A$8:$F$54,$P$2,FALSE)</f>
        <v>0</v>
      </c>
      <c r="N33" s="84">
        <f t="shared" si="1"/>
        <v>0</v>
      </c>
      <c r="O33" s="80">
        <f t="shared" si="2"/>
        <v>0</v>
      </c>
      <c r="P33" s="248">
        <f t="shared" ca="1" si="3"/>
        <v>0</v>
      </c>
      <c r="Q33" s="85">
        <f t="shared" ca="1" si="4"/>
        <v>0</v>
      </c>
    </row>
    <row r="34" spans="1:17" ht="24" customHeight="1" x14ac:dyDescent="0.2">
      <c r="A34" s="81">
        <f t="shared" si="5"/>
        <v>12</v>
      </c>
      <c r="B34" s="82" t="s">
        <v>276</v>
      </c>
      <c r="C34" s="82"/>
      <c r="D34" s="82"/>
      <c r="E34" s="82" t="s">
        <v>386</v>
      </c>
      <c r="F34" s="82" t="s">
        <v>434</v>
      </c>
      <c r="G34" s="83">
        <v>19.5</v>
      </c>
      <c r="H34" s="245" t="s">
        <v>460</v>
      </c>
      <c r="I34" s="246">
        <f>VLOOKUP($H34,Leistungswerte!$A$8:$E$54,3,FALSE)</f>
        <v>0</v>
      </c>
      <c r="J34" s="246">
        <f>VLOOKUP($H34,Leistungswerte!$A$8:$E$54,4,FALSE)</f>
        <v>1</v>
      </c>
      <c r="K34" s="246">
        <f>VLOOKUP($H34,Leistungswerte!$A$8:$E$54,5,FALSE)</f>
        <v>0</v>
      </c>
      <c r="L34" s="83">
        <f t="shared" si="0"/>
        <v>234</v>
      </c>
      <c r="M34" s="247">
        <f>VLOOKUP($H34,Leistungswerte!$A$8:$F$54,$P$2,FALSE)</f>
        <v>0</v>
      </c>
      <c r="N34" s="84">
        <f t="shared" si="1"/>
        <v>0</v>
      </c>
      <c r="O34" s="80">
        <f t="shared" si="2"/>
        <v>0</v>
      </c>
      <c r="P34" s="248">
        <f t="shared" ca="1" si="3"/>
        <v>0</v>
      </c>
      <c r="Q34" s="85">
        <f t="shared" ca="1" si="4"/>
        <v>0</v>
      </c>
    </row>
    <row r="35" spans="1:17" ht="24" customHeight="1" x14ac:dyDescent="0.2">
      <c r="A35" s="81">
        <f t="shared" si="5"/>
        <v>13</v>
      </c>
      <c r="B35" s="82" t="s">
        <v>276</v>
      </c>
      <c r="C35" s="82"/>
      <c r="D35" s="82"/>
      <c r="E35" s="82" t="s">
        <v>465</v>
      </c>
      <c r="F35" s="82" t="s">
        <v>434</v>
      </c>
      <c r="G35" s="83">
        <v>20.38</v>
      </c>
      <c r="H35" s="245" t="s">
        <v>85</v>
      </c>
      <c r="I35" s="246">
        <f>VLOOKUP($H35,Leistungswerte!$A$8:$E$54,3,FALSE)</f>
        <v>5</v>
      </c>
      <c r="J35" s="246">
        <f>VLOOKUP($H35,Leistungswerte!$A$8:$E$54,4,FALSE)</f>
        <v>0</v>
      </c>
      <c r="K35" s="246">
        <f>VLOOKUP($H35,Leistungswerte!$A$8:$E$54,5,FALSE)</f>
        <v>0</v>
      </c>
      <c r="L35" s="83">
        <f t="shared" si="0"/>
        <v>4361.32</v>
      </c>
      <c r="M35" s="247">
        <f>VLOOKUP($H35,Leistungswerte!$A$8:$F$54,$P$2,FALSE)</f>
        <v>0</v>
      </c>
      <c r="N35" s="84">
        <f t="shared" si="1"/>
        <v>0</v>
      </c>
      <c r="O35" s="80">
        <f t="shared" si="2"/>
        <v>0</v>
      </c>
      <c r="P35" s="248">
        <f t="shared" ca="1" si="3"/>
        <v>0</v>
      </c>
      <c r="Q35" s="85">
        <f t="shared" ca="1" si="4"/>
        <v>0</v>
      </c>
    </row>
    <row r="36" spans="1:17" ht="24" customHeight="1" x14ac:dyDescent="0.2">
      <c r="A36" s="81">
        <f t="shared" si="5"/>
        <v>14</v>
      </c>
      <c r="B36" s="82" t="s">
        <v>276</v>
      </c>
      <c r="C36" s="82"/>
      <c r="D36" s="82"/>
      <c r="E36" s="82" t="s">
        <v>464</v>
      </c>
      <c r="F36" s="82" t="s">
        <v>436</v>
      </c>
      <c r="G36" s="83">
        <v>12.08</v>
      </c>
      <c r="H36" s="245" t="s">
        <v>149</v>
      </c>
      <c r="I36" s="246">
        <f>VLOOKUP($H36,Leistungswerte!$A$8:$E$54,3,FALSE)</f>
        <v>5</v>
      </c>
      <c r="J36" s="246">
        <f>VLOOKUP($H36,Leistungswerte!$A$8:$E$54,4,FALSE)</f>
        <v>0</v>
      </c>
      <c r="K36" s="246">
        <f>VLOOKUP($H36,Leistungswerte!$A$8:$E$54,5,FALSE)</f>
        <v>0</v>
      </c>
      <c r="L36" s="83">
        <f t="shared" si="0"/>
        <v>2585.12</v>
      </c>
      <c r="M36" s="247">
        <f>VLOOKUP($H36,Leistungswerte!$A$8:$F$54,$P$2,FALSE)</f>
        <v>0</v>
      </c>
      <c r="N36" s="84">
        <f t="shared" si="1"/>
        <v>0</v>
      </c>
      <c r="O36" s="80">
        <f t="shared" si="2"/>
        <v>0</v>
      </c>
      <c r="P36" s="248">
        <f t="shared" ca="1" si="3"/>
        <v>0</v>
      </c>
      <c r="Q36" s="85">
        <f t="shared" ca="1" si="4"/>
        <v>0</v>
      </c>
    </row>
    <row r="37" spans="1:17" ht="24" customHeight="1" x14ac:dyDescent="0.2">
      <c r="A37" s="81">
        <f t="shared" si="5"/>
        <v>15</v>
      </c>
      <c r="B37" s="82" t="s">
        <v>276</v>
      </c>
      <c r="C37" s="82"/>
      <c r="D37" s="82"/>
      <c r="E37" s="82" t="s">
        <v>459</v>
      </c>
      <c r="F37" s="82" t="s">
        <v>436</v>
      </c>
      <c r="G37" s="83">
        <v>5.94</v>
      </c>
      <c r="H37" s="245" t="s">
        <v>149</v>
      </c>
      <c r="I37" s="246">
        <f>VLOOKUP($H37,Leistungswerte!$A$8:$E$54,3,FALSE)</f>
        <v>5</v>
      </c>
      <c r="J37" s="246">
        <f>VLOOKUP($H37,Leistungswerte!$A$8:$E$54,4,FALSE)</f>
        <v>0</v>
      </c>
      <c r="K37" s="246">
        <f>VLOOKUP($H37,Leistungswerte!$A$8:$E$54,5,FALSE)</f>
        <v>0</v>
      </c>
      <c r="L37" s="83">
        <f t="shared" si="0"/>
        <v>1271.1600000000001</v>
      </c>
      <c r="M37" s="247">
        <f>VLOOKUP($H37,Leistungswerte!$A$8:$F$54,$P$2,FALSE)</f>
        <v>0</v>
      </c>
      <c r="N37" s="84">
        <f t="shared" si="1"/>
        <v>0</v>
      </c>
      <c r="O37" s="80">
        <f t="shared" si="2"/>
        <v>0</v>
      </c>
      <c r="P37" s="248">
        <f t="shared" ca="1" si="3"/>
        <v>0</v>
      </c>
      <c r="Q37" s="85">
        <f t="shared" ca="1" si="4"/>
        <v>0</v>
      </c>
    </row>
    <row r="38" spans="1:17" ht="3.75" customHeight="1" thickBot="1" x14ac:dyDescent="0.25">
      <c r="A38" s="86"/>
      <c r="B38" s="87"/>
      <c r="C38" s="87"/>
      <c r="D38" s="87"/>
      <c r="E38" s="87"/>
      <c r="F38" s="87"/>
      <c r="G38" s="88"/>
      <c r="H38" s="89"/>
      <c r="I38" s="90"/>
      <c r="J38" s="90"/>
      <c r="K38" s="90"/>
      <c r="L38" s="88"/>
      <c r="M38" s="91"/>
      <c r="N38" s="87"/>
      <c r="O38" s="92"/>
      <c r="P38" s="93"/>
      <c r="Q38" s="94"/>
    </row>
    <row r="39" spans="1:17" s="46" customFormat="1" ht="25.5" customHeight="1" thickBot="1" x14ac:dyDescent="0.25">
      <c r="A39" s="40" t="s">
        <v>47</v>
      </c>
      <c r="B39" s="95"/>
      <c r="C39" s="95"/>
      <c r="D39" s="95"/>
      <c r="E39" s="95"/>
      <c r="F39" s="96"/>
      <c r="G39" s="97">
        <f>SUBTOTAL(9,G23:G38)</f>
        <v>1203.7600000000002</v>
      </c>
      <c r="H39" s="98"/>
      <c r="I39" s="99"/>
      <c r="J39" s="99"/>
      <c r="K39" s="99"/>
      <c r="L39" s="97">
        <f>SUBTOTAL(9,L23:L38)</f>
        <v>239864.65600000002</v>
      </c>
      <c r="M39" s="100" t="e">
        <f>L39/O39</f>
        <v>#DIV/0!</v>
      </c>
      <c r="N39" s="95"/>
      <c r="O39" s="101">
        <f>SUBTOTAL(9,O23:O38)</f>
        <v>0</v>
      </c>
      <c r="P39" s="102"/>
      <c r="Q39" s="220">
        <f ca="1">SUBTOTAL(9,Q23:Q38)</f>
        <v>0</v>
      </c>
    </row>
    <row r="41" spans="1:17" ht="13.5" thickBot="1" x14ac:dyDescent="0.25"/>
    <row r="42" spans="1:17" s="58" customFormat="1" x14ac:dyDescent="0.2">
      <c r="A42" s="50" t="s">
        <v>0</v>
      </c>
      <c r="B42" s="51" t="s">
        <v>40</v>
      </c>
      <c r="C42" s="51"/>
      <c r="D42" s="51" t="s">
        <v>41</v>
      </c>
      <c r="E42" s="52" t="s">
        <v>42</v>
      </c>
      <c r="F42" s="52" t="s">
        <v>24</v>
      </c>
      <c r="G42" s="53" t="s">
        <v>25</v>
      </c>
      <c r="H42" s="52" t="s">
        <v>1</v>
      </c>
      <c r="I42" s="396" t="s">
        <v>26</v>
      </c>
      <c r="J42" s="396"/>
      <c r="K42" s="396"/>
      <c r="L42" s="53" t="s">
        <v>33</v>
      </c>
      <c r="M42" s="54" t="s">
        <v>2</v>
      </c>
      <c r="N42" s="52" t="s">
        <v>15</v>
      </c>
      <c r="O42" s="55" t="s">
        <v>30</v>
      </c>
      <c r="P42" s="56" t="s">
        <v>13</v>
      </c>
      <c r="Q42" s="57" t="s">
        <v>31</v>
      </c>
    </row>
    <row r="43" spans="1:17" s="58" customFormat="1" ht="25.5" customHeight="1" thickBot="1" x14ac:dyDescent="0.25">
      <c r="A43" s="59"/>
      <c r="B43" s="60"/>
      <c r="C43" s="60"/>
      <c r="D43" s="60"/>
      <c r="E43" s="61" t="s">
        <v>43</v>
      </c>
      <c r="F43" s="61"/>
      <c r="G43" s="62" t="s">
        <v>32</v>
      </c>
      <c r="H43" s="61"/>
      <c r="I43" s="63" t="s">
        <v>27</v>
      </c>
      <c r="J43" s="63" t="s">
        <v>28</v>
      </c>
      <c r="K43" s="63" t="s">
        <v>29</v>
      </c>
      <c r="L43" s="62" t="s">
        <v>34</v>
      </c>
      <c r="M43" s="64" t="s">
        <v>35</v>
      </c>
      <c r="N43" s="61" t="s">
        <v>36</v>
      </c>
      <c r="O43" s="65" t="s">
        <v>37</v>
      </c>
      <c r="P43" s="66" t="s">
        <v>38</v>
      </c>
      <c r="Q43" s="67" t="s">
        <v>39</v>
      </c>
    </row>
    <row r="44" spans="1:17" ht="3.75" customHeight="1" x14ac:dyDescent="0.2">
      <c r="A44" s="68" t="s">
        <v>21</v>
      </c>
      <c r="B44" s="69" t="s">
        <v>21</v>
      </c>
      <c r="C44" s="69"/>
      <c r="D44" s="69" t="s">
        <v>21</v>
      </c>
      <c r="E44" s="69" t="s">
        <v>21</v>
      </c>
      <c r="F44" s="69" t="s">
        <v>21</v>
      </c>
      <c r="G44" s="70" t="s">
        <v>21</v>
      </c>
      <c r="H44" s="71" t="s">
        <v>21</v>
      </c>
      <c r="I44" s="72" t="s">
        <v>21</v>
      </c>
      <c r="J44" s="72" t="s">
        <v>21</v>
      </c>
      <c r="K44" s="72" t="s">
        <v>21</v>
      </c>
      <c r="L44" s="70" t="s">
        <v>21</v>
      </c>
      <c r="M44" s="73" t="s">
        <v>21</v>
      </c>
      <c r="N44" s="74" t="s">
        <v>21</v>
      </c>
      <c r="O44" s="75" t="s">
        <v>21</v>
      </c>
      <c r="P44" s="76" t="s">
        <v>21</v>
      </c>
      <c r="Q44" s="77" t="s">
        <v>21</v>
      </c>
    </row>
    <row r="45" spans="1:17" ht="24" customHeight="1" x14ac:dyDescent="0.2">
      <c r="A45" s="81">
        <f>A37+1</f>
        <v>16</v>
      </c>
      <c r="B45" s="82"/>
      <c r="C45" s="82"/>
      <c r="D45" s="82"/>
      <c r="E45" s="82" t="s">
        <v>156</v>
      </c>
      <c r="F45" s="82"/>
      <c r="G45" s="83">
        <f>IF($O$5="JA",SUM(G23:G38),0)</f>
        <v>1203.7600000000002</v>
      </c>
      <c r="H45" s="302" t="s">
        <v>83</v>
      </c>
      <c r="I45" s="79">
        <f>VLOOKUP($H45,Leistungswerte!$A$8:$E$54,3,FALSE)</f>
        <v>0</v>
      </c>
      <c r="J45" s="79">
        <f>VLOOKUP($H45,Leistungswerte!$A$8:$E$54,4,FALSE)</f>
        <v>0</v>
      </c>
      <c r="K45" s="79">
        <f>VLOOKUP($H45,Leistungswerte!$A$8:$E$54,5,FALSE)</f>
        <v>1</v>
      </c>
      <c r="L45" s="83">
        <f>($G$5/$G$6*I45+J45*12+K45)*G45</f>
        <v>1203.7600000000002</v>
      </c>
      <c r="M45" s="163">
        <f>VLOOKUP($H45,Leistungswerte!$A$8:$F$54,$P$2,FALSE)</f>
        <v>0</v>
      </c>
      <c r="N45" s="84">
        <f>IF(M45&lt;&gt;0,G45/M45/24,0)</f>
        <v>0</v>
      </c>
      <c r="O45" s="80">
        <f>IF(M45&lt;&gt;0,L45/M45,0)</f>
        <v>0</v>
      </c>
      <c r="P45" s="162">
        <f ca="1">SVS_GR</f>
        <v>0</v>
      </c>
      <c r="Q45" s="85">
        <f ca="1">O45*P45</f>
        <v>0</v>
      </c>
    </row>
    <row r="46" spans="1:17" ht="3.75" customHeight="1" thickBot="1" x14ac:dyDescent="0.25">
      <c r="A46" s="103"/>
      <c r="B46" s="104"/>
      <c r="C46" s="104"/>
      <c r="D46" s="104"/>
      <c r="E46" s="104"/>
      <c r="F46" s="104"/>
      <c r="G46" s="105"/>
      <c r="H46" s="106"/>
      <c r="I46" s="107"/>
      <c r="J46" s="107"/>
      <c r="K46" s="107"/>
      <c r="L46" s="105"/>
      <c r="M46" s="108"/>
      <c r="N46" s="104"/>
      <c r="O46" s="109"/>
      <c r="P46" s="110"/>
      <c r="Q46" s="111"/>
    </row>
    <row r="47" spans="1:17" s="46" customFormat="1" ht="25.5" customHeight="1" thickBot="1" x14ac:dyDescent="0.25">
      <c r="A47" s="40" t="s">
        <v>58</v>
      </c>
      <c r="B47" s="95"/>
      <c r="C47" s="95"/>
      <c r="D47" s="95"/>
      <c r="E47" s="95"/>
      <c r="F47" s="96"/>
      <c r="G47" s="97">
        <f>SUM(G45:G46)</f>
        <v>1203.7600000000002</v>
      </c>
      <c r="H47" s="98"/>
      <c r="I47" s="99"/>
      <c r="J47" s="99"/>
      <c r="K47" s="99"/>
      <c r="L47" s="97">
        <f>SUM(L45:L46)</f>
        <v>1203.7600000000002</v>
      </c>
      <c r="M47" s="100" t="e">
        <f>L47/O47</f>
        <v>#DIV/0!</v>
      </c>
      <c r="N47" s="95"/>
      <c r="O47" s="101">
        <f>SUM(O45:O46)</f>
        <v>0</v>
      </c>
      <c r="P47" s="102"/>
      <c r="Q47" s="220">
        <f ca="1">SUM(Q45:Q46)</f>
        <v>0</v>
      </c>
    </row>
    <row r="49" spans="5:15" ht="13.5" thickBot="1" x14ac:dyDescent="0.25"/>
    <row r="50" spans="5:15" ht="18" customHeight="1" thickBot="1" x14ac:dyDescent="0.25">
      <c r="E50" s="397" t="s">
        <v>155</v>
      </c>
      <c r="F50" s="398"/>
      <c r="G50" s="398"/>
      <c r="H50" s="398"/>
      <c r="I50" s="398"/>
      <c r="J50" s="398"/>
      <c r="K50" s="398"/>
      <c r="L50" s="398"/>
      <c r="M50" s="398"/>
      <c r="N50" s="398"/>
      <c r="O50" s="399"/>
    </row>
    <row r="51" spans="5:15" ht="18" customHeight="1" x14ac:dyDescent="0.2">
      <c r="E51" s="277" t="s">
        <v>225</v>
      </c>
      <c r="F51" s="400" t="s">
        <v>321</v>
      </c>
      <c r="G51" s="400"/>
      <c r="H51" s="400"/>
      <c r="I51" s="400"/>
      <c r="J51" s="400"/>
      <c r="K51" s="400"/>
      <c r="L51" s="400"/>
      <c r="M51" s="400"/>
      <c r="N51" s="400"/>
      <c r="O51" s="401"/>
    </row>
    <row r="52" spans="5:15" ht="18" customHeight="1" x14ac:dyDescent="0.2">
      <c r="E52" s="275" t="s">
        <v>226</v>
      </c>
      <c r="F52" s="388" t="s">
        <v>473</v>
      </c>
      <c r="G52" s="388"/>
      <c r="H52" s="388"/>
      <c r="I52" s="388"/>
      <c r="J52" s="388"/>
      <c r="K52" s="388"/>
      <c r="L52" s="388"/>
      <c r="M52" s="388"/>
      <c r="N52" s="388"/>
      <c r="O52" s="389"/>
    </row>
    <row r="53" spans="5:15" ht="18" customHeight="1" x14ac:dyDescent="0.2">
      <c r="E53" s="275" t="s">
        <v>227</v>
      </c>
      <c r="F53" s="388" t="s">
        <v>474</v>
      </c>
      <c r="G53" s="388"/>
      <c r="H53" s="388"/>
      <c r="I53" s="388"/>
      <c r="J53" s="388"/>
      <c r="K53" s="388"/>
      <c r="L53" s="388"/>
      <c r="M53" s="388"/>
      <c r="N53" s="388"/>
      <c r="O53" s="389"/>
    </row>
    <row r="54" spans="5:15" ht="18" customHeight="1" x14ac:dyDescent="0.2">
      <c r="E54" s="275" t="s">
        <v>228</v>
      </c>
      <c r="F54" s="388" t="s">
        <v>69</v>
      </c>
      <c r="G54" s="388"/>
      <c r="H54" s="388"/>
      <c r="I54" s="388"/>
      <c r="J54" s="388"/>
      <c r="K54" s="388"/>
      <c r="L54" s="388"/>
      <c r="M54" s="388"/>
      <c r="N54" s="388"/>
      <c r="O54" s="389"/>
    </row>
    <row r="55" spans="5:15" ht="18" customHeight="1" x14ac:dyDescent="0.2">
      <c r="E55" s="275" t="s">
        <v>229</v>
      </c>
      <c r="F55" s="388" t="s">
        <v>470</v>
      </c>
      <c r="G55" s="388"/>
      <c r="H55" s="388"/>
      <c r="I55" s="388"/>
      <c r="J55" s="388"/>
      <c r="K55" s="388"/>
      <c r="L55" s="388"/>
      <c r="M55" s="388"/>
      <c r="N55" s="388"/>
      <c r="O55" s="389"/>
    </row>
    <row r="56" spans="5:15" ht="18" customHeight="1" x14ac:dyDescent="0.2">
      <c r="E56" s="275" t="s">
        <v>230</v>
      </c>
      <c r="F56" s="388" t="s">
        <v>475</v>
      </c>
      <c r="G56" s="388"/>
      <c r="H56" s="388"/>
      <c r="I56" s="388"/>
      <c r="J56" s="388"/>
      <c r="K56" s="388"/>
      <c r="L56" s="388"/>
      <c r="M56" s="388"/>
      <c r="N56" s="388"/>
      <c r="O56" s="389"/>
    </row>
    <row r="57" spans="5:15" ht="18" customHeight="1" thickBot="1" x14ac:dyDescent="0.25">
      <c r="E57" s="276" t="s">
        <v>231</v>
      </c>
      <c r="F57" s="402" t="s">
        <v>69</v>
      </c>
      <c r="G57" s="402"/>
      <c r="H57" s="402"/>
      <c r="I57" s="402"/>
      <c r="J57" s="402"/>
      <c r="K57" s="402"/>
      <c r="L57" s="402"/>
      <c r="M57" s="402"/>
      <c r="N57" s="402"/>
      <c r="O57" s="403"/>
    </row>
  </sheetData>
  <sheetProtection algorithmName="SHA-512" hashValue="ImKRVY2lKD4yy3W2ayMMwZqjnVNpfOkEYFXjnt7wgQ0nAQfdd1AxEAYf7g09XNudCwKOWcaZpbKfKpes6Q0KFw==" saltValue="2NgRAMByH+4qscBdf7U4Aw==" spinCount="100000" sheet="1" autoFilter="0"/>
  <autoFilter ref="A21:Q37" xr:uid="{00000000-0009-0000-0000-00000A000000}"/>
  <mergeCells count="12">
    <mergeCell ref="F57:O57"/>
    <mergeCell ref="F53:O53"/>
    <mergeCell ref="F54:O54"/>
    <mergeCell ref="F55:O55"/>
    <mergeCell ref="F56:O56"/>
    <mergeCell ref="F52:O52"/>
    <mergeCell ref="E18:G18"/>
    <mergeCell ref="L18:O18"/>
    <mergeCell ref="I20:K20"/>
    <mergeCell ref="I42:K42"/>
    <mergeCell ref="E50:O50"/>
    <mergeCell ref="F51:O51"/>
  </mergeCells>
  <conditionalFormatting sqref="O7:O16 I23:K37 I45:K45">
    <cfRule type="cellIs" dxfId="18" priority="3" stopIfTrue="1" operator="equal">
      <formula>0</formula>
    </cfRule>
  </conditionalFormatting>
  <hyperlinks>
    <hyperlink ref="E18:G18" location="Angebotsübersicht!A1" display="Zur Angebotsübersicht" xr:uid="{00000000-0004-0000-0A00-000000000000}"/>
    <hyperlink ref="L18:O18" location="Leistungswerte!A1" display="Zu den Leistungswerten" xr:uid="{00000000-0004-0000-0A00-000001000000}"/>
  </hyperlinks>
  <printOptions horizontalCentered="1"/>
  <pageMargins left="0.55118110236220474" right="0.35433070866141736" top="0.31496062992125984" bottom="0.51181102362204722" header="0.19685039370078741" footer="0.31496062992125984"/>
  <pageSetup paperSize="9" scale="67" fitToHeight="0" orientation="landscape" r:id="rId1"/>
  <headerFooter alignWithMargins="0">
    <oddFooter>&amp;L&amp;8Ausschreibung Unterhaltsreinigung
&amp;A&amp;R&amp;8© Lean Consulting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59999389629810485"/>
    <pageSetUpPr fitToPage="1"/>
  </sheetPr>
  <dimension ref="A1:Q63"/>
  <sheetViews>
    <sheetView zoomScale="90" zoomScaleNormal="90" workbookViewId="0"/>
  </sheetViews>
  <sheetFormatPr baseColWidth="10" defaultColWidth="11.42578125" defaultRowHeight="12.75" x14ac:dyDescent="0.2"/>
  <cols>
    <col min="1" max="1" width="5.140625" style="1" customWidth="1"/>
    <col min="2" max="2" width="6.5703125" style="1" customWidth="1"/>
    <col min="3" max="3" width="10.85546875" style="1" customWidth="1"/>
    <col min="4" max="4" width="7.140625" style="1" customWidth="1"/>
    <col min="5" max="5" width="38.7109375" style="1" customWidth="1"/>
    <col min="6" max="6" width="17.42578125" style="1" customWidth="1"/>
    <col min="7" max="7" width="16.5703125" style="27" bestFit="1" customWidth="1"/>
    <col min="8" max="8" width="7.140625" style="28" customWidth="1"/>
    <col min="9" max="11" width="6.85546875" style="29" customWidth="1"/>
    <col min="12" max="12" width="17.140625" style="27" customWidth="1"/>
    <col min="13" max="13" width="12.85546875" style="30" customWidth="1"/>
    <col min="14" max="14" width="11.42578125" style="1"/>
    <col min="15" max="15" width="18.5703125" style="31" customWidth="1"/>
    <col min="16" max="16" width="11.42578125" style="32"/>
    <col min="17" max="17" width="14.28515625" style="32" customWidth="1"/>
    <col min="18" max="16384" width="11.42578125" style="1"/>
  </cols>
  <sheetData>
    <row r="1" spans="5:17" ht="13.5" thickBot="1" x14ac:dyDescent="0.25"/>
    <row r="2" spans="5:17" s="39" customFormat="1" ht="25.5" customHeight="1" thickBot="1" x14ac:dyDescent="0.25">
      <c r="E2" s="33"/>
      <c r="F2" s="34"/>
      <c r="G2" s="35" t="str">
        <f>IF(Bieter&lt;&gt;"",Bieter,"Bietername fehlt !")</f>
        <v>Bietername fehlt !</v>
      </c>
      <c r="H2" s="164"/>
      <c r="I2" s="36"/>
      <c r="J2" s="36"/>
      <c r="K2" s="36"/>
      <c r="L2" s="33"/>
      <c r="M2" s="34"/>
      <c r="N2" s="37"/>
      <c r="O2" s="35" t="s">
        <v>257</v>
      </c>
      <c r="P2" s="152">
        <v>6</v>
      </c>
      <c r="Q2" s="38"/>
    </row>
    <row r="3" spans="5:17" ht="13.5" thickBot="1" x14ac:dyDescent="0.25"/>
    <row r="4" spans="5:17" s="42" customFormat="1" ht="25.5" customHeight="1" thickBot="1" x14ac:dyDescent="0.25">
      <c r="E4" s="116" t="s">
        <v>55</v>
      </c>
      <c r="F4" s="118"/>
      <c r="G4" s="119"/>
      <c r="H4" s="41"/>
      <c r="K4" s="43"/>
      <c r="L4" s="117" t="s">
        <v>56</v>
      </c>
      <c r="M4" s="138"/>
      <c r="N4" s="138"/>
      <c r="O4" s="139"/>
      <c r="P4" s="44"/>
      <c r="Q4" s="44"/>
    </row>
    <row r="5" spans="5:17" s="42" customFormat="1" ht="18.75" customHeight="1" x14ac:dyDescent="0.2">
      <c r="E5" s="120" t="s">
        <v>45</v>
      </c>
      <c r="F5" s="121"/>
      <c r="G5" s="122">
        <f>RT_Schule</f>
        <v>194</v>
      </c>
      <c r="H5" s="41"/>
      <c r="I5" s="45"/>
      <c r="L5" s="120" t="s">
        <v>60</v>
      </c>
      <c r="M5" s="121"/>
      <c r="N5" s="140"/>
      <c r="O5" s="141" t="s">
        <v>69</v>
      </c>
      <c r="P5" s="44"/>
      <c r="Q5" s="44"/>
    </row>
    <row r="6" spans="5:17" s="42" customFormat="1" ht="18.75" customHeight="1" x14ac:dyDescent="0.2">
      <c r="E6" s="120" t="s">
        <v>46</v>
      </c>
      <c r="F6" s="121"/>
      <c r="G6" s="122">
        <v>5</v>
      </c>
      <c r="H6" s="41"/>
      <c r="I6" s="45"/>
      <c r="L6" s="120"/>
      <c r="M6" s="121"/>
      <c r="N6" s="140"/>
      <c r="O6" s="142"/>
      <c r="P6" s="44"/>
      <c r="Q6" s="44"/>
    </row>
    <row r="7" spans="5:17" s="42" customFormat="1" ht="18.75" customHeight="1" x14ac:dyDescent="0.2">
      <c r="E7" s="120" t="s">
        <v>44</v>
      </c>
      <c r="F7" s="121"/>
      <c r="G7" s="123">
        <f>SUM($G$23:$G$44)</f>
        <v>660.22</v>
      </c>
      <c r="H7" s="41"/>
      <c r="I7" s="45"/>
      <c r="J7" s="45"/>
      <c r="L7" s="120" t="s">
        <v>44</v>
      </c>
      <c r="M7" s="121"/>
      <c r="N7" s="121"/>
      <c r="O7" s="143">
        <f>IF($O$5="JA",$G$53,0)</f>
        <v>660.22</v>
      </c>
      <c r="P7" s="44"/>
      <c r="Q7" s="44"/>
    </row>
    <row r="8" spans="5:17" s="42" customFormat="1" ht="18.75" customHeight="1" x14ac:dyDescent="0.2">
      <c r="E8" s="120" t="s">
        <v>48</v>
      </c>
      <c r="F8" s="121"/>
      <c r="G8" s="123">
        <f>SUM($L$23:$L$44)</f>
        <v>114825.57199999999</v>
      </c>
      <c r="H8" s="41"/>
      <c r="I8" s="45"/>
      <c r="J8" s="45"/>
      <c r="L8" s="120" t="s">
        <v>48</v>
      </c>
      <c r="M8" s="121"/>
      <c r="N8" s="121"/>
      <c r="O8" s="143">
        <f>IF($O$5="JA",$L$53,0)</f>
        <v>660.22</v>
      </c>
      <c r="P8" s="44"/>
      <c r="Q8" s="44"/>
    </row>
    <row r="9" spans="5:17" s="42" customFormat="1" ht="18.75" customHeight="1" x14ac:dyDescent="0.2">
      <c r="E9" s="120" t="s">
        <v>49</v>
      </c>
      <c r="F9" s="121"/>
      <c r="G9" s="124">
        <f>SUM($O$23:$O$44)</f>
        <v>0</v>
      </c>
      <c r="H9" s="41"/>
      <c r="I9" s="45"/>
      <c r="J9" s="45"/>
      <c r="L9" s="120" t="s">
        <v>49</v>
      </c>
      <c r="M9" s="121"/>
      <c r="N9" s="121"/>
      <c r="O9" s="124">
        <f>IF($O$5="JA",$O$53,0)</f>
        <v>0</v>
      </c>
      <c r="P9" s="44"/>
      <c r="Q9" s="44"/>
    </row>
    <row r="10" spans="5:17" s="42" customFormat="1" ht="18.75" customHeight="1" x14ac:dyDescent="0.2">
      <c r="E10" s="120" t="s">
        <v>51</v>
      </c>
      <c r="F10" s="121"/>
      <c r="G10" s="124">
        <f>G9/G5</f>
        <v>0</v>
      </c>
      <c r="H10" s="41"/>
      <c r="I10" s="45"/>
      <c r="J10" s="45"/>
      <c r="L10" s="120"/>
      <c r="M10" s="121"/>
      <c r="N10" s="121"/>
      <c r="O10" s="144"/>
      <c r="P10" s="44"/>
      <c r="Q10" s="44"/>
    </row>
    <row r="11" spans="5:17" s="42" customFormat="1" ht="18.75" customHeight="1" x14ac:dyDescent="0.2">
      <c r="E11" s="120" t="s">
        <v>50</v>
      </c>
      <c r="F11" s="121"/>
      <c r="G11" s="125">
        <f>IF(G9&gt;0,G8/G9,0)</f>
        <v>0</v>
      </c>
      <c r="H11" s="41"/>
      <c r="I11" s="45"/>
      <c r="J11" s="45"/>
      <c r="L11" s="120" t="s">
        <v>50</v>
      </c>
      <c r="M11" s="121"/>
      <c r="N11" s="121"/>
      <c r="O11" s="125" t="e">
        <f>IF($O$5="JA",$O$8/$O$9,0)</f>
        <v>#DIV/0!</v>
      </c>
      <c r="P11" s="44"/>
      <c r="Q11" s="44"/>
    </row>
    <row r="12" spans="5:17" s="42" customFormat="1" ht="18.75" customHeight="1" thickBot="1" x14ac:dyDescent="0.25">
      <c r="E12" s="126" t="s">
        <v>57</v>
      </c>
      <c r="F12" s="127"/>
      <c r="G12" s="128">
        <f>IF(G9&gt;0,G14/G9,0)</f>
        <v>0</v>
      </c>
      <c r="H12" s="41"/>
      <c r="I12" s="45"/>
      <c r="J12" s="45"/>
      <c r="L12" s="126" t="s">
        <v>57</v>
      </c>
      <c r="M12" s="127"/>
      <c r="N12" s="127"/>
      <c r="O12" s="145" t="e">
        <f ca="1">IF($O$5="JA",$O$14/$O$9,0)</f>
        <v>#DIV/0!</v>
      </c>
      <c r="P12" s="44"/>
      <c r="Q12" s="44"/>
    </row>
    <row r="13" spans="5:17" s="42" customFormat="1" ht="6.75" customHeight="1" thickBot="1" x14ac:dyDescent="0.25">
      <c r="E13" s="121"/>
      <c r="F13" s="121"/>
      <c r="G13" s="129"/>
      <c r="H13" s="41"/>
      <c r="I13" s="45"/>
      <c r="J13" s="45"/>
      <c r="L13" s="121"/>
      <c r="M13" s="121"/>
      <c r="N13" s="121"/>
      <c r="O13" s="146"/>
      <c r="P13" s="44"/>
      <c r="Q13" s="44"/>
    </row>
    <row r="14" spans="5:17" s="42" customFormat="1" ht="18.75" customHeight="1" x14ac:dyDescent="0.2">
      <c r="E14" s="130" t="s">
        <v>65</v>
      </c>
      <c r="F14" s="131">
        <f ca="1">G14/G5</f>
        <v>0</v>
      </c>
      <c r="G14" s="132">
        <f ca="1">SUM(Q23:Q44)</f>
        <v>0</v>
      </c>
      <c r="H14" s="41"/>
      <c r="I14" s="45"/>
      <c r="J14" s="45"/>
      <c r="K14" s="46"/>
      <c r="L14" s="130" t="s">
        <v>52</v>
      </c>
      <c r="M14" s="147"/>
      <c r="N14" s="147"/>
      <c r="O14" s="148">
        <f ca="1">IF($O$5="JA",$Q$53,0)</f>
        <v>0</v>
      </c>
      <c r="P14" s="44"/>
      <c r="Q14" s="44"/>
    </row>
    <row r="15" spans="5:17" s="42" customFormat="1" ht="18.75" customHeight="1" x14ac:dyDescent="0.2">
      <c r="E15" s="133" t="s">
        <v>53</v>
      </c>
      <c r="F15" s="129"/>
      <c r="G15" s="134">
        <f ca="1">G14*0.19</f>
        <v>0</v>
      </c>
      <c r="H15" s="41"/>
      <c r="I15" s="45"/>
      <c r="J15" s="45"/>
      <c r="K15" s="46"/>
      <c r="L15" s="133" t="s">
        <v>53</v>
      </c>
      <c r="M15" s="121"/>
      <c r="N15" s="121"/>
      <c r="O15" s="149">
        <f ca="1">IF($O$5="JA",O14*0.19,0)</f>
        <v>0</v>
      </c>
      <c r="P15" s="44"/>
      <c r="Q15" s="44"/>
    </row>
    <row r="16" spans="5:17" s="42" customFormat="1" ht="18.75" customHeight="1" thickBot="1" x14ac:dyDescent="0.25">
      <c r="E16" s="135" t="s">
        <v>54</v>
      </c>
      <c r="F16" s="136"/>
      <c r="G16" s="137">
        <f ca="1">G14+G15</f>
        <v>0</v>
      </c>
      <c r="H16" s="41"/>
      <c r="I16" s="45"/>
      <c r="J16" s="45"/>
      <c r="K16" s="46"/>
      <c r="L16" s="135" t="s">
        <v>54</v>
      </c>
      <c r="M16" s="127"/>
      <c r="N16" s="127"/>
      <c r="O16" s="150">
        <f ca="1">IF(O14&lt;&gt;0,SUM(O14:O15),0)</f>
        <v>0</v>
      </c>
      <c r="P16" s="44"/>
      <c r="Q16" s="44"/>
    </row>
    <row r="17" spans="1:17" ht="6" customHeight="1" thickBot="1" x14ac:dyDescent="0.25">
      <c r="M17" s="1"/>
    </row>
    <row r="18" spans="1:17" ht="18" customHeight="1" thickBot="1" x14ac:dyDescent="0.25">
      <c r="A18" s="46"/>
      <c r="B18" s="46"/>
      <c r="C18" s="46"/>
      <c r="D18" s="46"/>
      <c r="E18" s="390" t="s">
        <v>63</v>
      </c>
      <c r="F18" s="391"/>
      <c r="G18" s="392"/>
      <c r="H18" s="47"/>
      <c r="I18" s="48"/>
      <c r="J18" s="48"/>
      <c r="K18" s="48"/>
      <c r="L18" s="393" t="s">
        <v>62</v>
      </c>
      <c r="M18" s="394"/>
      <c r="N18" s="394"/>
      <c r="O18" s="395"/>
      <c r="P18" s="49"/>
      <c r="Q18" s="49"/>
    </row>
    <row r="19" spans="1:17" ht="6" customHeight="1" thickBot="1" x14ac:dyDescent="0.25"/>
    <row r="20" spans="1:17" s="58" customFormat="1" x14ac:dyDescent="0.2">
      <c r="A20" s="50" t="s">
        <v>0</v>
      </c>
      <c r="B20" s="51" t="s">
        <v>40</v>
      </c>
      <c r="C20" s="51" t="s">
        <v>61</v>
      </c>
      <c r="D20" s="51" t="s">
        <v>41</v>
      </c>
      <c r="E20" s="52" t="s">
        <v>42</v>
      </c>
      <c r="F20" s="52" t="s">
        <v>24</v>
      </c>
      <c r="G20" s="53" t="s">
        <v>25</v>
      </c>
      <c r="H20" s="52" t="s">
        <v>1</v>
      </c>
      <c r="I20" s="396" t="s">
        <v>26</v>
      </c>
      <c r="J20" s="396"/>
      <c r="K20" s="396"/>
      <c r="L20" s="53" t="s">
        <v>33</v>
      </c>
      <c r="M20" s="54" t="s">
        <v>2</v>
      </c>
      <c r="N20" s="52" t="s">
        <v>15</v>
      </c>
      <c r="O20" s="55" t="s">
        <v>30</v>
      </c>
      <c r="P20" s="56" t="s">
        <v>13</v>
      </c>
      <c r="Q20" s="57" t="s">
        <v>31</v>
      </c>
    </row>
    <row r="21" spans="1:17" s="58" customFormat="1" ht="25.5" customHeight="1" thickBot="1" x14ac:dyDescent="0.25">
      <c r="A21" s="18"/>
      <c r="B21" s="19"/>
      <c r="C21" s="19"/>
      <c r="D21" s="19"/>
      <c r="E21" s="20" t="s">
        <v>43</v>
      </c>
      <c r="F21" s="20"/>
      <c r="G21" s="21" t="s">
        <v>32</v>
      </c>
      <c r="H21" s="20"/>
      <c r="I21" s="22" t="s">
        <v>27</v>
      </c>
      <c r="J21" s="22" t="s">
        <v>28</v>
      </c>
      <c r="K21" s="22" t="s">
        <v>29</v>
      </c>
      <c r="L21" s="21" t="s">
        <v>34</v>
      </c>
      <c r="M21" s="23" t="s">
        <v>35</v>
      </c>
      <c r="N21" s="20" t="s">
        <v>36</v>
      </c>
      <c r="O21" s="24" t="s">
        <v>37</v>
      </c>
      <c r="P21" s="25" t="s">
        <v>38</v>
      </c>
      <c r="Q21" s="26" t="s">
        <v>39</v>
      </c>
    </row>
    <row r="22" spans="1:17" ht="3.75" customHeight="1" x14ac:dyDescent="0.2">
      <c r="A22" s="68" t="s">
        <v>21</v>
      </c>
      <c r="B22" s="69" t="s">
        <v>21</v>
      </c>
      <c r="C22" s="69"/>
      <c r="D22" s="69" t="s">
        <v>21</v>
      </c>
      <c r="E22" s="69" t="s">
        <v>21</v>
      </c>
      <c r="F22" s="69" t="s">
        <v>21</v>
      </c>
      <c r="G22" s="70" t="s">
        <v>21</v>
      </c>
      <c r="H22" s="71" t="s">
        <v>21</v>
      </c>
      <c r="I22" s="72" t="s">
        <v>21</v>
      </c>
      <c r="J22" s="72" t="s">
        <v>21</v>
      </c>
      <c r="K22" s="72" t="s">
        <v>21</v>
      </c>
      <c r="L22" s="70" t="s">
        <v>21</v>
      </c>
      <c r="M22" s="73" t="s">
        <v>21</v>
      </c>
      <c r="N22" s="74" t="s">
        <v>21</v>
      </c>
      <c r="O22" s="75" t="s">
        <v>21</v>
      </c>
      <c r="P22" s="76" t="s">
        <v>21</v>
      </c>
      <c r="Q22" s="77" t="s">
        <v>21</v>
      </c>
    </row>
    <row r="23" spans="1:17" ht="24" customHeight="1" x14ac:dyDescent="0.2">
      <c r="A23" s="81">
        <v>1</v>
      </c>
      <c r="B23" s="82"/>
      <c r="C23" s="82"/>
      <c r="D23" s="82"/>
      <c r="E23" s="82" t="s">
        <v>267</v>
      </c>
      <c r="F23" s="82" t="s">
        <v>436</v>
      </c>
      <c r="G23" s="83">
        <v>6.6</v>
      </c>
      <c r="H23" s="245" t="s">
        <v>150</v>
      </c>
      <c r="I23" s="246">
        <f>VLOOKUP($H23,Leistungswerte!$A$8:$E$54,3,FALSE)</f>
        <v>5</v>
      </c>
      <c r="J23" s="246">
        <f>VLOOKUP($H23,Leistungswerte!$A$8:$E$54,4,FALSE)</f>
        <v>0</v>
      </c>
      <c r="K23" s="246">
        <f>VLOOKUP($H23,Leistungswerte!$A$8:$E$54,5,FALSE)</f>
        <v>0</v>
      </c>
      <c r="L23" s="83">
        <f t="shared" ref="L23:L43" si="0">($G$5/$G$6*I23+J23*12+K23)*G23</f>
        <v>1280.3999999999999</v>
      </c>
      <c r="M23" s="247">
        <f>VLOOKUP($H23,Leistungswerte!$A$8:$F$54,$P$2,FALSE)</f>
        <v>0</v>
      </c>
      <c r="N23" s="84">
        <f t="shared" ref="N23:N43" si="1">IF(M23&lt;&gt;0,G23/M23/24,0)</f>
        <v>0</v>
      </c>
      <c r="O23" s="80">
        <f t="shared" ref="O23:O43" si="2">IF(M23&lt;&gt;0,L23/M23,0)</f>
        <v>0</v>
      </c>
      <c r="P23" s="248">
        <f t="shared" ref="P23:P43" ca="1" si="3">SVS_UR</f>
        <v>0</v>
      </c>
      <c r="Q23" s="85">
        <f t="shared" ref="Q23:Q43" ca="1" si="4">O23*P23</f>
        <v>0</v>
      </c>
    </row>
    <row r="24" spans="1:17" ht="24" customHeight="1" x14ac:dyDescent="0.2">
      <c r="A24" s="81">
        <f t="shared" ref="A24:A43" si="5">A23+1</f>
        <v>2</v>
      </c>
      <c r="B24" s="82"/>
      <c r="C24" s="82"/>
      <c r="D24" s="82"/>
      <c r="E24" s="82" t="s">
        <v>268</v>
      </c>
      <c r="F24" s="82" t="s">
        <v>436</v>
      </c>
      <c r="G24" s="83">
        <v>42.09</v>
      </c>
      <c r="H24" s="245" t="s">
        <v>152</v>
      </c>
      <c r="I24" s="246">
        <f>VLOOKUP($H24,Leistungswerte!$A$8:$E$54,3,FALSE)</f>
        <v>5</v>
      </c>
      <c r="J24" s="246">
        <f>VLOOKUP($H24,Leistungswerte!$A$8:$E$54,4,FALSE)</f>
        <v>0</v>
      </c>
      <c r="K24" s="246">
        <f>VLOOKUP($H24,Leistungswerte!$A$8:$E$54,5,FALSE)</f>
        <v>0</v>
      </c>
      <c r="L24" s="83">
        <f t="shared" si="0"/>
        <v>8165.4600000000009</v>
      </c>
      <c r="M24" s="247">
        <f>VLOOKUP($H24,Leistungswerte!$A$8:$F$54,$P$2,FALSE)</f>
        <v>0</v>
      </c>
      <c r="N24" s="84">
        <f t="shared" si="1"/>
        <v>0</v>
      </c>
      <c r="O24" s="80">
        <f t="shared" si="2"/>
        <v>0</v>
      </c>
      <c r="P24" s="248">
        <f t="shared" ca="1" si="3"/>
        <v>0</v>
      </c>
      <c r="Q24" s="85">
        <f t="shared" ca="1" si="4"/>
        <v>0</v>
      </c>
    </row>
    <row r="25" spans="1:17" ht="24" customHeight="1" x14ac:dyDescent="0.2">
      <c r="A25" s="81">
        <f t="shared" si="5"/>
        <v>3</v>
      </c>
      <c r="B25" s="82"/>
      <c r="C25" s="82"/>
      <c r="D25" s="82"/>
      <c r="E25" s="82" t="s">
        <v>290</v>
      </c>
      <c r="F25" s="82" t="s">
        <v>436</v>
      </c>
      <c r="G25" s="83">
        <v>0</v>
      </c>
      <c r="H25" s="245" t="s">
        <v>16</v>
      </c>
      <c r="I25" s="246">
        <f>VLOOKUP($H25,Leistungswerte!$A$8:$E$54,3,FALSE)</f>
        <v>0</v>
      </c>
      <c r="J25" s="246">
        <f>VLOOKUP($H25,Leistungswerte!$A$8:$E$54,4,FALSE)</f>
        <v>0</v>
      </c>
      <c r="K25" s="246">
        <f>VLOOKUP($H25,Leistungswerte!$A$8:$E$54,5,FALSE)</f>
        <v>0</v>
      </c>
      <c r="L25" s="83">
        <f t="shared" si="0"/>
        <v>0</v>
      </c>
      <c r="M25" s="247">
        <f>VLOOKUP($H25,Leistungswerte!$A$8:$F$54,$P$2,FALSE)</f>
        <v>0</v>
      </c>
      <c r="N25" s="84">
        <f t="shared" si="1"/>
        <v>0</v>
      </c>
      <c r="O25" s="80">
        <f t="shared" si="2"/>
        <v>0</v>
      </c>
      <c r="P25" s="248">
        <f t="shared" ca="1" si="3"/>
        <v>0</v>
      </c>
      <c r="Q25" s="85">
        <f t="shared" ca="1" si="4"/>
        <v>0</v>
      </c>
    </row>
    <row r="26" spans="1:17" ht="24" customHeight="1" x14ac:dyDescent="0.2">
      <c r="A26" s="81">
        <f t="shared" si="5"/>
        <v>4</v>
      </c>
      <c r="B26" s="82"/>
      <c r="C26" s="82"/>
      <c r="D26" s="82"/>
      <c r="E26" s="82" t="s">
        <v>290</v>
      </c>
      <c r="F26" s="82" t="s">
        <v>436</v>
      </c>
      <c r="G26" s="83">
        <v>0</v>
      </c>
      <c r="H26" s="245" t="s">
        <v>16</v>
      </c>
      <c r="I26" s="246">
        <f>VLOOKUP($H26,Leistungswerte!$A$8:$E$54,3,FALSE)</f>
        <v>0</v>
      </c>
      <c r="J26" s="246">
        <f>VLOOKUP($H26,Leistungswerte!$A$8:$E$54,4,FALSE)</f>
        <v>0</v>
      </c>
      <c r="K26" s="246">
        <f>VLOOKUP($H26,Leistungswerte!$A$8:$E$54,5,FALSE)</f>
        <v>0</v>
      </c>
      <c r="L26" s="83">
        <f t="shared" si="0"/>
        <v>0</v>
      </c>
      <c r="M26" s="247">
        <f>VLOOKUP($H26,Leistungswerte!$A$8:$F$54,$P$2,FALSE)</f>
        <v>0</v>
      </c>
      <c r="N26" s="84">
        <f t="shared" si="1"/>
        <v>0</v>
      </c>
      <c r="O26" s="80">
        <f t="shared" si="2"/>
        <v>0</v>
      </c>
      <c r="P26" s="248">
        <f t="shared" ca="1" si="3"/>
        <v>0</v>
      </c>
      <c r="Q26" s="85">
        <f t="shared" ca="1" si="4"/>
        <v>0</v>
      </c>
    </row>
    <row r="27" spans="1:17" ht="24" customHeight="1" x14ac:dyDescent="0.2">
      <c r="A27" s="81">
        <f t="shared" si="5"/>
        <v>5</v>
      </c>
      <c r="B27" s="82"/>
      <c r="C27" s="82"/>
      <c r="D27" s="82"/>
      <c r="E27" s="82" t="s">
        <v>415</v>
      </c>
      <c r="F27" s="82" t="s">
        <v>436</v>
      </c>
      <c r="G27" s="83">
        <v>3.45</v>
      </c>
      <c r="H27" s="245" t="s">
        <v>149</v>
      </c>
      <c r="I27" s="246">
        <f>VLOOKUP($H27,Leistungswerte!$A$8:$E$54,3,FALSE)</f>
        <v>5</v>
      </c>
      <c r="J27" s="246">
        <f>VLOOKUP($H27,Leistungswerte!$A$8:$E$54,4,FALSE)</f>
        <v>0</v>
      </c>
      <c r="K27" s="246">
        <f>VLOOKUP($H27,Leistungswerte!$A$8:$E$54,5,FALSE)</f>
        <v>0</v>
      </c>
      <c r="L27" s="83">
        <f t="shared" si="0"/>
        <v>669.30000000000007</v>
      </c>
      <c r="M27" s="247">
        <f>VLOOKUP($H27,Leistungswerte!$A$8:$F$54,$P$2,FALSE)</f>
        <v>0</v>
      </c>
      <c r="N27" s="84">
        <f t="shared" si="1"/>
        <v>0</v>
      </c>
      <c r="O27" s="80">
        <f t="shared" si="2"/>
        <v>0</v>
      </c>
      <c r="P27" s="248">
        <f t="shared" ca="1" si="3"/>
        <v>0</v>
      </c>
      <c r="Q27" s="85">
        <f t="shared" ca="1" si="4"/>
        <v>0</v>
      </c>
    </row>
    <row r="28" spans="1:17" ht="24" customHeight="1" x14ac:dyDescent="0.2">
      <c r="A28" s="81">
        <f t="shared" si="5"/>
        <v>6</v>
      </c>
      <c r="B28" s="82"/>
      <c r="C28" s="82"/>
      <c r="D28" s="82"/>
      <c r="E28" s="82" t="s">
        <v>414</v>
      </c>
      <c r="F28" s="82" t="s">
        <v>436</v>
      </c>
      <c r="G28" s="83">
        <v>6.2</v>
      </c>
      <c r="H28" s="245" t="s">
        <v>149</v>
      </c>
      <c r="I28" s="246">
        <f>VLOOKUP($H28,Leistungswerte!$A$8:$E$54,3,FALSE)</f>
        <v>5</v>
      </c>
      <c r="J28" s="246">
        <f>VLOOKUP($H28,Leistungswerte!$A$8:$E$54,4,FALSE)</f>
        <v>0</v>
      </c>
      <c r="K28" s="246">
        <f>VLOOKUP($H28,Leistungswerte!$A$8:$E$54,5,FALSE)</f>
        <v>0</v>
      </c>
      <c r="L28" s="83">
        <f t="shared" si="0"/>
        <v>1202.8</v>
      </c>
      <c r="M28" s="247">
        <f>VLOOKUP($H28,Leistungswerte!$A$8:$F$54,$P$2,FALSE)</f>
        <v>0</v>
      </c>
      <c r="N28" s="84">
        <f t="shared" si="1"/>
        <v>0</v>
      </c>
      <c r="O28" s="80">
        <f t="shared" si="2"/>
        <v>0</v>
      </c>
      <c r="P28" s="248">
        <f t="shared" ca="1" si="3"/>
        <v>0</v>
      </c>
      <c r="Q28" s="85">
        <f t="shared" ca="1" si="4"/>
        <v>0</v>
      </c>
    </row>
    <row r="29" spans="1:17" ht="24" customHeight="1" x14ac:dyDescent="0.2">
      <c r="A29" s="81">
        <f t="shared" si="5"/>
        <v>7</v>
      </c>
      <c r="B29" s="82"/>
      <c r="C29" s="82"/>
      <c r="D29" s="82"/>
      <c r="E29" s="82" t="s">
        <v>290</v>
      </c>
      <c r="F29" s="82" t="s">
        <v>436</v>
      </c>
      <c r="G29" s="83">
        <v>0</v>
      </c>
      <c r="H29" s="245" t="s">
        <v>16</v>
      </c>
      <c r="I29" s="246">
        <f>VLOOKUP($H29,Leistungswerte!$A$8:$E$54,3,FALSE)</f>
        <v>0</v>
      </c>
      <c r="J29" s="246">
        <f>VLOOKUP($H29,Leistungswerte!$A$8:$E$54,4,FALSE)</f>
        <v>0</v>
      </c>
      <c r="K29" s="246">
        <f>VLOOKUP($H29,Leistungswerte!$A$8:$E$54,5,FALSE)</f>
        <v>0</v>
      </c>
      <c r="L29" s="83">
        <f t="shared" si="0"/>
        <v>0</v>
      </c>
      <c r="M29" s="247">
        <f>VLOOKUP($H29,Leistungswerte!$A$8:$F$54,$P$2,FALSE)</f>
        <v>0</v>
      </c>
      <c r="N29" s="84">
        <f t="shared" si="1"/>
        <v>0</v>
      </c>
      <c r="O29" s="80">
        <f t="shared" si="2"/>
        <v>0</v>
      </c>
      <c r="P29" s="248">
        <f t="shared" ca="1" si="3"/>
        <v>0</v>
      </c>
      <c r="Q29" s="85">
        <f t="shared" ca="1" si="4"/>
        <v>0</v>
      </c>
    </row>
    <row r="30" spans="1:17" ht="24" customHeight="1" x14ac:dyDescent="0.2">
      <c r="A30" s="81">
        <f t="shared" si="5"/>
        <v>8</v>
      </c>
      <c r="B30" s="82"/>
      <c r="C30" s="82"/>
      <c r="D30" s="82"/>
      <c r="E30" s="82" t="s">
        <v>333</v>
      </c>
      <c r="F30" s="82" t="s">
        <v>436</v>
      </c>
      <c r="G30" s="83">
        <v>26.67</v>
      </c>
      <c r="H30" s="245" t="s">
        <v>85</v>
      </c>
      <c r="I30" s="246">
        <f>VLOOKUP($H30,Leistungswerte!$A$8:$E$54,3,FALSE)</f>
        <v>5</v>
      </c>
      <c r="J30" s="246">
        <f>VLOOKUP($H30,Leistungswerte!$A$8:$E$54,4,FALSE)</f>
        <v>0</v>
      </c>
      <c r="K30" s="246">
        <f>VLOOKUP($H30,Leistungswerte!$A$8:$E$54,5,FALSE)</f>
        <v>0</v>
      </c>
      <c r="L30" s="83">
        <f t="shared" si="0"/>
        <v>5173.9800000000005</v>
      </c>
      <c r="M30" s="247">
        <f>VLOOKUP($H30,Leistungswerte!$A$8:$F$54,$P$2,FALSE)</f>
        <v>0</v>
      </c>
      <c r="N30" s="84">
        <f t="shared" si="1"/>
        <v>0</v>
      </c>
      <c r="O30" s="80">
        <f t="shared" si="2"/>
        <v>0</v>
      </c>
      <c r="P30" s="248">
        <f t="shared" ca="1" si="3"/>
        <v>0</v>
      </c>
      <c r="Q30" s="85">
        <f t="shared" ca="1" si="4"/>
        <v>0</v>
      </c>
    </row>
    <row r="31" spans="1:17" ht="24" customHeight="1" x14ac:dyDescent="0.2">
      <c r="A31" s="81">
        <f t="shared" si="5"/>
        <v>9</v>
      </c>
      <c r="B31" s="82"/>
      <c r="C31" s="82"/>
      <c r="D31" s="82"/>
      <c r="E31" s="82" t="s">
        <v>286</v>
      </c>
      <c r="F31" s="82" t="s">
        <v>436</v>
      </c>
      <c r="G31" s="83">
        <v>3.59</v>
      </c>
      <c r="H31" s="245" t="s">
        <v>149</v>
      </c>
      <c r="I31" s="246">
        <f>VLOOKUP($H31,Leistungswerte!$A$8:$E$54,3,FALSE)</f>
        <v>5</v>
      </c>
      <c r="J31" s="246">
        <f>VLOOKUP($H31,Leistungswerte!$A$8:$E$54,4,FALSE)</f>
        <v>0</v>
      </c>
      <c r="K31" s="246">
        <f>VLOOKUP($H31,Leistungswerte!$A$8:$E$54,5,FALSE)</f>
        <v>0</v>
      </c>
      <c r="L31" s="83">
        <f t="shared" si="0"/>
        <v>696.45999999999992</v>
      </c>
      <c r="M31" s="247">
        <f>VLOOKUP($H31,Leistungswerte!$A$8:$F$54,$P$2,FALSE)</f>
        <v>0</v>
      </c>
      <c r="N31" s="84">
        <f t="shared" si="1"/>
        <v>0</v>
      </c>
      <c r="O31" s="80">
        <f t="shared" si="2"/>
        <v>0</v>
      </c>
      <c r="P31" s="248">
        <f t="shared" ca="1" si="3"/>
        <v>0</v>
      </c>
      <c r="Q31" s="85">
        <f t="shared" ca="1" si="4"/>
        <v>0</v>
      </c>
    </row>
    <row r="32" spans="1:17" ht="24" customHeight="1" x14ac:dyDescent="0.2">
      <c r="A32" s="81">
        <f t="shared" si="5"/>
        <v>10</v>
      </c>
      <c r="B32" s="82"/>
      <c r="C32" s="82"/>
      <c r="D32" s="82"/>
      <c r="E32" s="82" t="s">
        <v>387</v>
      </c>
      <c r="F32" s="82" t="s">
        <v>436</v>
      </c>
      <c r="G32" s="83">
        <v>14.26</v>
      </c>
      <c r="H32" s="245" t="s">
        <v>149</v>
      </c>
      <c r="I32" s="246">
        <f>VLOOKUP($H32,Leistungswerte!$A$8:$E$54,3,FALSE)</f>
        <v>5</v>
      </c>
      <c r="J32" s="246">
        <f>VLOOKUP($H32,Leistungswerte!$A$8:$E$54,4,FALSE)</f>
        <v>0</v>
      </c>
      <c r="K32" s="246">
        <f>VLOOKUP($H32,Leistungswerte!$A$8:$E$54,5,FALSE)</f>
        <v>0</v>
      </c>
      <c r="L32" s="83">
        <f t="shared" si="0"/>
        <v>2766.44</v>
      </c>
      <c r="M32" s="247">
        <f>VLOOKUP($H32,Leistungswerte!$A$8:$F$54,$P$2,FALSE)</f>
        <v>0</v>
      </c>
      <c r="N32" s="84">
        <f t="shared" si="1"/>
        <v>0</v>
      </c>
      <c r="O32" s="80">
        <f t="shared" si="2"/>
        <v>0</v>
      </c>
      <c r="P32" s="248">
        <f t="shared" ca="1" si="3"/>
        <v>0</v>
      </c>
      <c r="Q32" s="85">
        <f t="shared" ca="1" si="4"/>
        <v>0</v>
      </c>
    </row>
    <row r="33" spans="1:17" ht="24" customHeight="1" x14ac:dyDescent="0.2">
      <c r="A33" s="81">
        <f t="shared" si="5"/>
        <v>11</v>
      </c>
      <c r="B33" s="82"/>
      <c r="C33" s="82"/>
      <c r="D33" s="82"/>
      <c r="E33" s="82" t="s">
        <v>273</v>
      </c>
      <c r="F33" s="82" t="s">
        <v>436</v>
      </c>
      <c r="G33" s="83">
        <v>3.23</v>
      </c>
      <c r="H33" s="245" t="s">
        <v>16</v>
      </c>
      <c r="I33" s="246">
        <f>VLOOKUP($H33,Leistungswerte!$A$8:$E$54,3,FALSE)</f>
        <v>0</v>
      </c>
      <c r="J33" s="246">
        <f>VLOOKUP($H33,Leistungswerte!$A$8:$E$54,4,FALSE)</f>
        <v>0</v>
      </c>
      <c r="K33" s="246">
        <f>VLOOKUP($H33,Leistungswerte!$A$8:$E$54,5,FALSE)</f>
        <v>0</v>
      </c>
      <c r="L33" s="83">
        <f t="shared" si="0"/>
        <v>0</v>
      </c>
      <c r="M33" s="247">
        <f>VLOOKUP($H33,Leistungswerte!$A$8:$F$54,$P$2,FALSE)</f>
        <v>0</v>
      </c>
      <c r="N33" s="84">
        <f t="shared" si="1"/>
        <v>0</v>
      </c>
      <c r="O33" s="80">
        <f t="shared" si="2"/>
        <v>0</v>
      </c>
      <c r="P33" s="248">
        <f t="shared" ca="1" si="3"/>
        <v>0</v>
      </c>
      <c r="Q33" s="85">
        <f t="shared" ca="1" si="4"/>
        <v>0</v>
      </c>
    </row>
    <row r="34" spans="1:17" ht="24" customHeight="1" x14ac:dyDescent="0.2">
      <c r="A34" s="81">
        <f t="shared" si="5"/>
        <v>12</v>
      </c>
      <c r="B34" s="82"/>
      <c r="C34" s="82"/>
      <c r="D34" s="82"/>
      <c r="E34" s="82" t="s">
        <v>333</v>
      </c>
      <c r="F34" s="82" t="s">
        <v>436</v>
      </c>
      <c r="G34" s="83">
        <v>26.64</v>
      </c>
      <c r="H34" s="245" t="s">
        <v>85</v>
      </c>
      <c r="I34" s="246">
        <f>VLOOKUP($H34,Leistungswerte!$A$8:$E$54,3,FALSE)</f>
        <v>5</v>
      </c>
      <c r="J34" s="246">
        <f>VLOOKUP($H34,Leistungswerte!$A$8:$E$54,4,FALSE)</f>
        <v>0</v>
      </c>
      <c r="K34" s="246">
        <f>VLOOKUP($H34,Leistungswerte!$A$8:$E$54,5,FALSE)</f>
        <v>0</v>
      </c>
      <c r="L34" s="83">
        <f t="shared" si="0"/>
        <v>5168.16</v>
      </c>
      <c r="M34" s="247">
        <f>VLOOKUP($H34,Leistungswerte!$A$8:$F$54,$P$2,FALSE)</f>
        <v>0</v>
      </c>
      <c r="N34" s="84">
        <f t="shared" si="1"/>
        <v>0</v>
      </c>
      <c r="O34" s="80">
        <f t="shared" si="2"/>
        <v>0</v>
      </c>
      <c r="P34" s="248">
        <f t="shared" ca="1" si="3"/>
        <v>0</v>
      </c>
      <c r="Q34" s="85">
        <f t="shared" ca="1" si="4"/>
        <v>0</v>
      </c>
    </row>
    <row r="35" spans="1:17" ht="24" customHeight="1" x14ac:dyDescent="0.2">
      <c r="A35" s="81">
        <f t="shared" si="5"/>
        <v>13</v>
      </c>
      <c r="B35" s="82"/>
      <c r="C35" s="82"/>
      <c r="D35" s="82"/>
      <c r="E35" s="82" t="s">
        <v>286</v>
      </c>
      <c r="F35" s="82" t="s">
        <v>436</v>
      </c>
      <c r="G35" s="83">
        <v>3.45</v>
      </c>
      <c r="H35" s="245" t="s">
        <v>149</v>
      </c>
      <c r="I35" s="246">
        <f>VLOOKUP($H35,Leistungswerte!$A$8:$E$54,3,FALSE)</f>
        <v>5</v>
      </c>
      <c r="J35" s="246">
        <f>VLOOKUP($H35,Leistungswerte!$A$8:$E$54,4,FALSE)</f>
        <v>0</v>
      </c>
      <c r="K35" s="246">
        <f>VLOOKUP($H35,Leistungswerte!$A$8:$E$54,5,FALSE)</f>
        <v>0</v>
      </c>
      <c r="L35" s="83">
        <f t="shared" si="0"/>
        <v>669.30000000000007</v>
      </c>
      <c r="M35" s="247">
        <f>VLOOKUP($H35,Leistungswerte!$A$8:$F$54,$P$2,FALSE)</f>
        <v>0</v>
      </c>
      <c r="N35" s="84">
        <f t="shared" si="1"/>
        <v>0</v>
      </c>
      <c r="O35" s="80">
        <f t="shared" si="2"/>
        <v>0</v>
      </c>
      <c r="P35" s="248">
        <f t="shared" ca="1" si="3"/>
        <v>0</v>
      </c>
      <c r="Q35" s="85">
        <f t="shared" ca="1" si="4"/>
        <v>0</v>
      </c>
    </row>
    <row r="36" spans="1:17" ht="24" customHeight="1" x14ac:dyDescent="0.2">
      <c r="A36" s="81">
        <f t="shared" si="5"/>
        <v>14</v>
      </c>
      <c r="B36" s="82"/>
      <c r="C36" s="82"/>
      <c r="D36" s="82"/>
      <c r="E36" s="82" t="s">
        <v>387</v>
      </c>
      <c r="F36" s="82" t="s">
        <v>436</v>
      </c>
      <c r="G36" s="83">
        <v>14.33</v>
      </c>
      <c r="H36" s="245" t="s">
        <v>149</v>
      </c>
      <c r="I36" s="246">
        <f>VLOOKUP($H36,Leistungswerte!$A$8:$E$54,3,FALSE)</f>
        <v>5</v>
      </c>
      <c r="J36" s="246">
        <f>VLOOKUP($H36,Leistungswerte!$A$8:$E$54,4,FALSE)</f>
        <v>0</v>
      </c>
      <c r="K36" s="246">
        <f>VLOOKUP($H36,Leistungswerte!$A$8:$E$54,5,FALSE)</f>
        <v>0</v>
      </c>
      <c r="L36" s="83">
        <f t="shared" si="0"/>
        <v>2780.02</v>
      </c>
      <c r="M36" s="247">
        <f>VLOOKUP($H36,Leistungswerte!$A$8:$F$54,$P$2,FALSE)</f>
        <v>0</v>
      </c>
      <c r="N36" s="84">
        <f t="shared" si="1"/>
        <v>0</v>
      </c>
      <c r="O36" s="80">
        <f t="shared" si="2"/>
        <v>0</v>
      </c>
      <c r="P36" s="248">
        <f t="shared" ca="1" si="3"/>
        <v>0</v>
      </c>
      <c r="Q36" s="85">
        <f t="shared" ca="1" si="4"/>
        <v>0</v>
      </c>
    </row>
    <row r="37" spans="1:17" ht="24" customHeight="1" x14ac:dyDescent="0.2">
      <c r="A37" s="81">
        <f t="shared" si="5"/>
        <v>15</v>
      </c>
      <c r="B37" s="82"/>
      <c r="C37" s="82"/>
      <c r="D37" s="82"/>
      <c r="E37" s="82" t="s">
        <v>268</v>
      </c>
      <c r="F37" s="82" t="s">
        <v>436</v>
      </c>
      <c r="G37" s="83">
        <v>33.74</v>
      </c>
      <c r="H37" s="245" t="s">
        <v>152</v>
      </c>
      <c r="I37" s="246">
        <f>VLOOKUP($H37,Leistungswerte!$A$8:$E$54,3,FALSE)</f>
        <v>5</v>
      </c>
      <c r="J37" s="246">
        <f>VLOOKUP($H37,Leistungswerte!$A$8:$E$54,4,FALSE)</f>
        <v>0</v>
      </c>
      <c r="K37" s="246">
        <f>VLOOKUP($H37,Leistungswerte!$A$8:$E$54,5,FALSE)</f>
        <v>0</v>
      </c>
      <c r="L37" s="83">
        <f t="shared" si="0"/>
        <v>6545.56</v>
      </c>
      <c r="M37" s="247">
        <f>VLOOKUP($H37,Leistungswerte!$A$8:$F$54,$P$2,FALSE)</f>
        <v>0</v>
      </c>
      <c r="N37" s="84">
        <f t="shared" si="1"/>
        <v>0</v>
      </c>
      <c r="O37" s="80">
        <f t="shared" si="2"/>
        <v>0</v>
      </c>
      <c r="P37" s="248">
        <f t="shared" ca="1" si="3"/>
        <v>0</v>
      </c>
      <c r="Q37" s="85">
        <f t="shared" ca="1" si="4"/>
        <v>0</v>
      </c>
    </row>
    <row r="38" spans="1:17" ht="24" customHeight="1" x14ac:dyDescent="0.2">
      <c r="A38" s="81">
        <f t="shared" si="5"/>
        <v>16</v>
      </c>
      <c r="B38" s="82"/>
      <c r="C38" s="82"/>
      <c r="D38" s="82"/>
      <c r="E38" s="82" t="s">
        <v>290</v>
      </c>
      <c r="F38" s="82" t="s">
        <v>436</v>
      </c>
      <c r="G38" s="83">
        <v>0</v>
      </c>
      <c r="H38" s="245" t="s">
        <v>16</v>
      </c>
      <c r="I38" s="246">
        <f>VLOOKUP($H38,Leistungswerte!$A$8:$E$54,3,FALSE)</f>
        <v>0</v>
      </c>
      <c r="J38" s="246">
        <f>VLOOKUP($H38,Leistungswerte!$A$8:$E$54,4,FALSE)</f>
        <v>0</v>
      </c>
      <c r="K38" s="246">
        <f>VLOOKUP($H38,Leistungswerte!$A$8:$E$54,5,FALSE)</f>
        <v>0</v>
      </c>
      <c r="L38" s="83">
        <f t="shared" si="0"/>
        <v>0</v>
      </c>
      <c r="M38" s="247">
        <f>VLOOKUP($H38,Leistungswerte!$A$8:$F$54,$P$2,FALSE)</f>
        <v>0</v>
      </c>
      <c r="N38" s="84">
        <f t="shared" si="1"/>
        <v>0</v>
      </c>
      <c r="O38" s="80">
        <f t="shared" si="2"/>
        <v>0</v>
      </c>
      <c r="P38" s="248">
        <f t="shared" ca="1" si="3"/>
        <v>0</v>
      </c>
      <c r="Q38" s="85">
        <f t="shared" ca="1" si="4"/>
        <v>0</v>
      </c>
    </row>
    <row r="39" spans="1:17" ht="24" customHeight="1" x14ac:dyDescent="0.2">
      <c r="A39" s="81">
        <f t="shared" si="5"/>
        <v>17</v>
      </c>
      <c r="B39" s="82"/>
      <c r="C39" s="82"/>
      <c r="D39" s="82"/>
      <c r="E39" s="82" t="s">
        <v>382</v>
      </c>
      <c r="F39" s="82" t="s">
        <v>436</v>
      </c>
      <c r="G39" s="83">
        <v>8.84</v>
      </c>
      <c r="H39" s="245" t="s">
        <v>153</v>
      </c>
      <c r="I39" s="246">
        <f>VLOOKUP($H39,Leistungswerte!$A$8:$E$54,3,FALSE)</f>
        <v>1</v>
      </c>
      <c r="J39" s="246">
        <f>VLOOKUP($H39,Leistungswerte!$A$8:$E$54,4,FALSE)</f>
        <v>0</v>
      </c>
      <c r="K39" s="246">
        <f>VLOOKUP($H39,Leistungswerte!$A$8:$E$54,5,FALSE)</f>
        <v>0</v>
      </c>
      <c r="L39" s="83">
        <f t="shared" si="0"/>
        <v>342.99199999999996</v>
      </c>
      <c r="M39" s="247">
        <f>VLOOKUP($H39,Leistungswerte!$A$8:$F$54,$P$2,FALSE)</f>
        <v>0</v>
      </c>
      <c r="N39" s="84">
        <f t="shared" si="1"/>
        <v>0</v>
      </c>
      <c r="O39" s="80">
        <f t="shared" si="2"/>
        <v>0</v>
      </c>
      <c r="P39" s="248">
        <f t="shared" ca="1" si="3"/>
        <v>0</v>
      </c>
      <c r="Q39" s="85">
        <f t="shared" ca="1" si="4"/>
        <v>0</v>
      </c>
    </row>
    <row r="40" spans="1:17" ht="24" customHeight="1" x14ac:dyDescent="0.2">
      <c r="A40" s="81">
        <f t="shared" si="5"/>
        <v>18</v>
      </c>
      <c r="B40" s="82"/>
      <c r="C40" s="82"/>
      <c r="D40" s="82"/>
      <c r="E40" s="82" t="s">
        <v>381</v>
      </c>
      <c r="F40" s="82" t="s">
        <v>434</v>
      </c>
      <c r="G40" s="83">
        <v>405.27</v>
      </c>
      <c r="H40" s="245" t="s">
        <v>148</v>
      </c>
      <c r="I40" s="246">
        <f>VLOOKUP($H40,Leistungswerte!$A$8:$E$54,3,FALSE)</f>
        <v>5</v>
      </c>
      <c r="J40" s="246">
        <f>VLOOKUP($H40,Leistungswerte!$A$8:$E$54,4,FALSE)</f>
        <v>0</v>
      </c>
      <c r="K40" s="246">
        <f>VLOOKUP($H40,Leistungswerte!$A$8:$E$54,5,FALSE)</f>
        <v>0</v>
      </c>
      <c r="L40" s="83">
        <f t="shared" si="0"/>
        <v>78622.37999999999</v>
      </c>
      <c r="M40" s="247">
        <f>VLOOKUP($H40,Leistungswerte!$A$8:$F$54,$P$2,FALSE)</f>
        <v>0</v>
      </c>
      <c r="N40" s="84">
        <f t="shared" si="1"/>
        <v>0</v>
      </c>
      <c r="O40" s="80">
        <f t="shared" si="2"/>
        <v>0</v>
      </c>
      <c r="P40" s="248">
        <f t="shared" ca="1" si="3"/>
        <v>0</v>
      </c>
      <c r="Q40" s="85">
        <f t="shared" ca="1" si="4"/>
        <v>0</v>
      </c>
    </row>
    <row r="41" spans="1:17" ht="24" customHeight="1" x14ac:dyDescent="0.2">
      <c r="A41" s="81">
        <f t="shared" si="5"/>
        <v>19</v>
      </c>
      <c r="B41" s="82"/>
      <c r="C41" s="82"/>
      <c r="D41" s="82"/>
      <c r="E41" s="82" t="s">
        <v>287</v>
      </c>
      <c r="F41" s="82" t="s">
        <v>434</v>
      </c>
      <c r="G41" s="83">
        <v>50.56</v>
      </c>
      <c r="H41" s="245" t="s">
        <v>460</v>
      </c>
      <c r="I41" s="246">
        <f>VLOOKUP($H41,Leistungswerte!$A$8:$E$54,3,FALSE)</f>
        <v>0</v>
      </c>
      <c r="J41" s="246">
        <f>VLOOKUP($H41,Leistungswerte!$A$8:$E$54,4,FALSE)</f>
        <v>1</v>
      </c>
      <c r="K41" s="246">
        <f>VLOOKUP($H41,Leistungswerte!$A$8:$E$54,5,FALSE)</f>
        <v>0</v>
      </c>
      <c r="L41" s="83">
        <f t="shared" si="0"/>
        <v>606.72</v>
      </c>
      <c r="M41" s="247">
        <f>VLOOKUP($H41,Leistungswerte!$A$8:$F$54,$P$2,FALSE)</f>
        <v>0</v>
      </c>
      <c r="N41" s="84">
        <f t="shared" si="1"/>
        <v>0</v>
      </c>
      <c r="O41" s="80">
        <f t="shared" si="2"/>
        <v>0</v>
      </c>
      <c r="P41" s="248">
        <f t="shared" ca="1" si="3"/>
        <v>0</v>
      </c>
      <c r="Q41" s="85">
        <f t="shared" ca="1" si="4"/>
        <v>0</v>
      </c>
    </row>
    <row r="42" spans="1:17" ht="24" customHeight="1" x14ac:dyDescent="0.2">
      <c r="A42" s="81">
        <f t="shared" si="5"/>
        <v>20</v>
      </c>
      <c r="B42" s="82"/>
      <c r="C42" s="82"/>
      <c r="D42" s="82"/>
      <c r="E42" s="82" t="s">
        <v>383</v>
      </c>
      <c r="F42" s="82" t="s">
        <v>434</v>
      </c>
      <c r="G42" s="83">
        <v>11.3</v>
      </c>
      <c r="H42" s="245" t="s">
        <v>460</v>
      </c>
      <c r="I42" s="246">
        <f>VLOOKUP($H42,Leistungswerte!$A$8:$E$54,3,FALSE)</f>
        <v>0</v>
      </c>
      <c r="J42" s="246">
        <f>VLOOKUP($H42,Leistungswerte!$A$8:$E$54,4,FALSE)</f>
        <v>1</v>
      </c>
      <c r="K42" s="246">
        <f>VLOOKUP($H42,Leistungswerte!$A$8:$E$54,5,FALSE)</f>
        <v>0</v>
      </c>
      <c r="L42" s="83">
        <f t="shared" si="0"/>
        <v>135.60000000000002</v>
      </c>
      <c r="M42" s="247">
        <f>VLOOKUP($H42,Leistungswerte!$A$8:$F$54,$P$2,FALSE)</f>
        <v>0</v>
      </c>
      <c r="N42" s="84">
        <f t="shared" si="1"/>
        <v>0</v>
      </c>
      <c r="O42" s="80">
        <f t="shared" si="2"/>
        <v>0</v>
      </c>
      <c r="P42" s="248">
        <f t="shared" ca="1" si="3"/>
        <v>0</v>
      </c>
      <c r="Q42" s="85">
        <f t="shared" ca="1" si="4"/>
        <v>0</v>
      </c>
    </row>
    <row r="43" spans="1:17" ht="24" customHeight="1" x14ac:dyDescent="0.2">
      <c r="A43" s="81">
        <f t="shared" si="5"/>
        <v>21</v>
      </c>
      <c r="B43" s="82"/>
      <c r="C43" s="82"/>
      <c r="D43" s="82"/>
      <c r="E43" s="82" t="s">
        <v>290</v>
      </c>
      <c r="F43" s="82" t="s">
        <v>438</v>
      </c>
      <c r="G43" s="83">
        <v>0</v>
      </c>
      <c r="H43" s="245" t="s">
        <v>16</v>
      </c>
      <c r="I43" s="246">
        <f>VLOOKUP($H43,Leistungswerte!$A$8:$E$54,3,FALSE)</f>
        <v>0</v>
      </c>
      <c r="J43" s="246">
        <f>VLOOKUP($H43,Leistungswerte!$A$8:$E$54,4,FALSE)</f>
        <v>0</v>
      </c>
      <c r="K43" s="246">
        <f>VLOOKUP($H43,Leistungswerte!$A$8:$E$54,5,FALSE)</f>
        <v>0</v>
      </c>
      <c r="L43" s="83">
        <f t="shared" si="0"/>
        <v>0</v>
      </c>
      <c r="M43" s="247">
        <f>VLOOKUP($H43,Leistungswerte!$A$8:$F$54,$P$2,FALSE)</f>
        <v>0</v>
      </c>
      <c r="N43" s="84">
        <f t="shared" si="1"/>
        <v>0</v>
      </c>
      <c r="O43" s="80">
        <f t="shared" si="2"/>
        <v>0</v>
      </c>
      <c r="P43" s="248">
        <f t="shared" ca="1" si="3"/>
        <v>0</v>
      </c>
      <c r="Q43" s="85">
        <f t="shared" ca="1" si="4"/>
        <v>0</v>
      </c>
    </row>
    <row r="44" spans="1:17" ht="3.75" customHeight="1" thickBot="1" x14ac:dyDescent="0.25">
      <c r="A44" s="86"/>
      <c r="B44" s="87"/>
      <c r="C44" s="87"/>
      <c r="D44" s="87"/>
      <c r="E44" s="87"/>
      <c r="F44" s="87"/>
      <c r="G44" s="88"/>
      <c r="H44" s="89"/>
      <c r="I44" s="90"/>
      <c r="J44" s="90"/>
      <c r="K44" s="90"/>
      <c r="L44" s="88"/>
      <c r="M44" s="91"/>
      <c r="N44" s="87"/>
      <c r="O44" s="92"/>
      <c r="P44" s="93"/>
      <c r="Q44" s="94"/>
    </row>
    <row r="45" spans="1:17" s="46" customFormat="1" ht="25.5" customHeight="1" thickBot="1" x14ac:dyDescent="0.25">
      <c r="A45" s="40" t="s">
        <v>47</v>
      </c>
      <c r="B45" s="95"/>
      <c r="C45" s="95"/>
      <c r="D45" s="95"/>
      <c r="E45" s="95"/>
      <c r="F45" s="96"/>
      <c r="G45" s="97">
        <f>SUBTOTAL(9,G23:G44)</f>
        <v>660.22</v>
      </c>
      <c r="H45" s="98"/>
      <c r="I45" s="99"/>
      <c r="J45" s="99"/>
      <c r="K45" s="99"/>
      <c r="L45" s="97">
        <f>SUBTOTAL(9,L23:L44)</f>
        <v>114825.57199999999</v>
      </c>
      <c r="M45" s="100" t="e">
        <f>L45/O45</f>
        <v>#DIV/0!</v>
      </c>
      <c r="N45" s="95"/>
      <c r="O45" s="101">
        <f>SUBTOTAL(9,O23:O44)</f>
        <v>0</v>
      </c>
      <c r="P45" s="102"/>
      <c r="Q45" s="220">
        <f ca="1">SUBTOTAL(9,Q23:Q44)</f>
        <v>0</v>
      </c>
    </row>
    <row r="47" spans="1:17" ht="13.5" thickBot="1" x14ac:dyDescent="0.25"/>
    <row r="48" spans="1:17" s="58" customFormat="1" x14ac:dyDescent="0.2">
      <c r="A48" s="50" t="s">
        <v>0</v>
      </c>
      <c r="B48" s="51" t="s">
        <v>40</v>
      </c>
      <c r="C48" s="51"/>
      <c r="D48" s="51" t="s">
        <v>41</v>
      </c>
      <c r="E48" s="52" t="s">
        <v>42</v>
      </c>
      <c r="F48" s="52" t="s">
        <v>24</v>
      </c>
      <c r="G48" s="53" t="s">
        <v>25</v>
      </c>
      <c r="H48" s="52" t="s">
        <v>1</v>
      </c>
      <c r="I48" s="396" t="s">
        <v>26</v>
      </c>
      <c r="J48" s="396"/>
      <c r="K48" s="396"/>
      <c r="L48" s="53" t="s">
        <v>33</v>
      </c>
      <c r="M48" s="54" t="s">
        <v>2</v>
      </c>
      <c r="N48" s="52" t="s">
        <v>15</v>
      </c>
      <c r="O48" s="55" t="s">
        <v>30</v>
      </c>
      <c r="P48" s="56" t="s">
        <v>13</v>
      </c>
      <c r="Q48" s="57" t="s">
        <v>31</v>
      </c>
    </row>
    <row r="49" spans="1:17" s="58" customFormat="1" ht="25.5" customHeight="1" thickBot="1" x14ac:dyDescent="0.25">
      <c r="A49" s="59"/>
      <c r="B49" s="60"/>
      <c r="C49" s="60"/>
      <c r="D49" s="60"/>
      <c r="E49" s="61" t="s">
        <v>43</v>
      </c>
      <c r="F49" s="61"/>
      <c r="G49" s="62" t="s">
        <v>32</v>
      </c>
      <c r="H49" s="61"/>
      <c r="I49" s="63" t="s">
        <v>27</v>
      </c>
      <c r="J49" s="63" t="s">
        <v>28</v>
      </c>
      <c r="K49" s="63" t="s">
        <v>29</v>
      </c>
      <c r="L49" s="62" t="s">
        <v>34</v>
      </c>
      <c r="M49" s="64" t="s">
        <v>35</v>
      </c>
      <c r="N49" s="61" t="s">
        <v>36</v>
      </c>
      <c r="O49" s="65" t="s">
        <v>37</v>
      </c>
      <c r="P49" s="66" t="s">
        <v>38</v>
      </c>
      <c r="Q49" s="67" t="s">
        <v>39</v>
      </c>
    </row>
    <row r="50" spans="1:17" ht="3.75" customHeight="1" x14ac:dyDescent="0.2">
      <c r="A50" s="68" t="s">
        <v>21</v>
      </c>
      <c r="B50" s="69" t="s">
        <v>21</v>
      </c>
      <c r="C50" s="69"/>
      <c r="D50" s="69" t="s">
        <v>21</v>
      </c>
      <c r="E50" s="69" t="s">
        <v>21</v>
      </c>
      <c r="F50" s="69" t="s">
        <v>21</v>
      </c>
      <c r="G50" s="70" t="s">
        <v>21</v>
      </c>
      <c r="H50" s="71" t="s">
        <v>21</v>
      </c>
      <c r="I50" s="72" t="s">
        <v>21</v>
      </c>
      <c r="J50" s="72" t="s">
        <v>21</v>
      </c>
      <c r="K50" s="72" t="s">
        <v>21</v>
      </c>
      <c r="L50" s="70" t="s">
        <v>21</v>
      </c>
      <c r="M50" s="73" t="s">
        <v>21</v>
      </c>
      <c r="N50" s="74" t="s">
        <v>21</v>
      </c>
      <c r="O50" s="75" t="s">
        <v>21</v>
      </c>
      <c r="P50" s="76" t="s">
        <v>21</v>
      </c>
      <c r="Q50" s="77" t="s">
        <v>21</v>
      </c>
    </row>
    <row r="51" spans="1:17" ht="24" customHeight="1" x14ac:dyDescent="0.2">
      <c r="A51" s="81">
        <f>A43+1</f>
        <v>22</v>
      </c>
      <c r="B51" s="82"/>
      <c r="C51" s="82"/>
      <c r="D51" s="82"/>
      <c r="E51" s="82" t="s">
        <v>156</v>
      </c>
      <c r="F51" s="82"/>
      <c r="G51" s="83">
        <f>IF($O$5="JA",SUM(G23:G44),0)</f>
        <v>660.22</v>
      </c>
      <c r="H51" s="302" t="s">
        <v>83</v>
      </c>
      <c r="I51" s="79">
        <f>VLOOKUP($H51,Leistungswerte!$A$8:$E$54,3,FALSE)</f>
        <v>0</v>
      </c>
      <c r="J51" s="79">
        <f>VLOOKUP($H51,Leistungswerte!$A$8:$E$54,4,FALSE)</f>
        <v>0</v>
      </c>
      <c r="K51" s="79">
        <f>VLOOKUP($H51,Leistungswerte!$A$8:$E$54,5,FALSE)</f>
        <v>1</v>
      </c>
      <c r="L51" s="83">
        <f>($G$5/$G$6*I51+J51*12+K51)*G51</f>
        <v>660.22</v>
      </c>
      <c r="M51" s="163">
        <f>VLOOKUP($H51,Leistungswerte!$A$8:$F$54,$P$2,FALSE)</f>
        <v>0</v>
      </c>
      <c r="N51" s="84">
        <f>IF(M51&lt;&gt;0,G51/M51/24,0)</f>
        <v>0</v>
      </c>
      <c r="O51" s="80">
        <f>IF(M51&lt;&gt;0,L51/M51,0)</f>
        <v>0</v>
      </c>
      <c r="P51" s="162">
        <f ca="1">SVS_GR</f>
        <v>0</v>
      </c>
      <c r="Q51" s="85">
        <f ca="1">O51*P51</f>
        <v>0</v>
      </c>
    </row>
    <row r="52" spans="1:17" ht="3.75" customHeight="1" thickBot="1" x14ac:dyDescent="0.25">
      <c r="A52" s="103"/>
      <c r="B52" s="104"/>
      <c r="C52" s="104"/>
      <c r="D52" s="104"/>
      <c r="E52" s="104"/>
      <c r="F52" s="104"/>
      <c r="G52" s="105"/>
      <c r="H52" s="106"/>
      <c r="I52" s="107"/>
      <c r="J52" s="107"/>
      <c r="K52" s="107"/>
      <c r="L52" s="105"/>
      <c r="M52" s="108"/>
      <c r="N52" s="104"/>
      <c r="O52" s="109"/>
      <c r="P52" s="110"/>
      <c r="Q52" s="111"/>
    </row>
    <row r="53" spans="1:17" s="46" customFormat="1" ht="25.5" customHeight="1" thickBot="1" x14ac:dyDescent="0.25">
      <c r="A53" s="40" t="s">
        <v>58</v>
      </c>
      <c r="B53" s="95"/>
      <c r="C53" s="95"/>
      <c r="D53" s="95"/>
      <c r="E53" s="95"/>
      <c r="F53" s="96"/>
      <c r="G53" s="97">
        <f>SUM(G51:G52)</f>
        <v>660.22</v>
      </c>
      <c r="H53" s="98"/>
      <c r="I53" s="99"/>
      <c r="J53" s="99"/>
      <c r="K53" s="99"/>
      <c r="L53" s="97">
        <f>SUM(L51:L52)</f>
        <v>660.22</v>
      </c>
      <c r="M53" s="100" t="e">
        <f>L53/O53</f>
        <v>#DIV/0!</v>
      </c>
      <c r="N53" s="95"/>
      <c r="O53" s="101">
        <f>SUM(O51:O52)</f>
        <v>0</v>
      </c>
      <c r="P53" s="102"/>
      <c r="Q53" s="220">
        <f ca="1">SUM(Q51:Q52)</f>
        <v>0</v>
      </c>
    </row>
    <row r="55" spans="1:17" ht="13.5" thickBot="1" x14ac:dyDescent="0.25"/>
    <row r="56" spans="1:17" ht="18" customHeight="1" thickBot="1" x14ac:dyDescent="0.25">
      <c r="E56" s="397" t="s">
        <v>155</v>
      </c>
      <c r="F56" s="398"/>
      <c r="G56" s="398"/>
      <c r="H56" s="398"/>
      <c r="I56" s="398"/>
      <c r="J56" s="398"/>
      <c r="K56" s="398"/>
      <c r="L56" s="398"/>
      <c r="M56" s="398"/>
      <c r="N56" s="398"/>
      <c r="O56" s="399"/>
    </row>
    <row r="57" spans="1:17" ht="18" customHeight="1" x14ac:dyDescent="0.2">
      <c r="E57" s="277" t="s">
        <v>225</v>
      </c>
      <c r="F57" s="400" t="s">
        <v>322</v>
      </c>
      <c r="G57" s="400"/>
      <c r="H57" s="400"/>
      <c r="I57" s="400"/>
      <c r="J57" s="400"/>
      <c r="K57" s="400"/>
      <c r="L57" s="400"/>
      <c r="M57" s="400"/>
      <c r="N57" s="400"/>
      <c r="O57" s="401"/>
    </row>
    <row r="58" spans="1:17" ht="18" customHeight="1" x14ac:dyDescent="0.2">
      <c r="E58" s="275" t="s">
        <v>226</v>
      </c>
      <c r="F58" s="388" t="s">
        <v>485</v>
      </c>
      <c r="G58" s="388"/>
      <c r="H58" s="388"/>
      <c r="I58" s="388"/>
      <c r="J58" s="388"/>
      <c r="K58" s="388"/>
      <c r="L58" s="388"/>
      <c r="M58" s="388"/>
      <c r="N58" s="388"/>
      <c r="O58" s="389"/>
    </row>
    <row r="59" spans="1:17" ht="18" customHeight="1" x14ac:dyDescent="0.2">
      <c r="E59" s="275" t="s">
        <v>227</v>
      </c>
      <c r="F59" s="388" t="s">
        <v>488</v>
      </c>
      <c r="G59" s="388"/>
      <c r="H59" s="388"/>
      <c r="I59" s="388"/>
      <c r="J59" s="388"/>
      <c r="K59" s="388"/>
      <c r="L59" s="388"/>
      <c r="M59" s="388"/>
      <c r="N59" s="388"/>
      <c r="O59" s="389"/>
    </row>
    <row r="60" spans="1:17" ht="18" customHeight="1" x14ac:dyDescent="0.2">
      <c r="E60" s="275" t="s">
        <v>228</v>
      </c>
      <c r="F60" s="388" t="s">
        <v>479</v>
      </c>
      <c r="G60" s="388"/>
      <c r="H60" s="388"/>
      <c r="I60" s="388"/>
      <c r="J60" s="388"/>
      <c r="K60" s="388"/>
      <c r="L60" s="388"/>
      <c r="M60" s="388"/>
      <c r="N60" s="388"/>
      <c r="O60" s="389"/>
    </row>
    <row r="61" spans="1:17" ht="18" customHeight="1" x14ac:dyDescent="0.2">
      <c r="E61" s="275" t="s">
        <v>229</v>
      </c>
      <c r="F61" s="388" t="s">
        <v>486</v>
      </c>
      <c r="G61" s="388"/>
      <c r="H61" s="388"/>
      <c r="I61" s="388"/>
      <c r="J61" s="388"/>
      <c r="K61" s="388"/>
      <c r="L61" s="388"/>
      <c r="M61" s="388"/>
      <c r="N61" s="388"/>
      <c r="O61" s="389"/>
    </row>
    <row r="62" spans="1:17" ht="18" customHeight="1" x14ac:dyDescent="0.2">
      <c r="E62" s="275" t="s">
        <v>230</v>
      </c>
      <c r="F62" s="388" t="s">
        <v>476</v>
      </c>
      <c r="G62" s="388"/>
      <c r="H62" s="388"/>
      <c r="I62" s="388"/>
      <c r="J62" s="388"/>
      <c r="K62" s="388"/>
      <c r="L62" s="388"/>
      <c r="M62" s="388"/>
      <c r="N62" s="388"/>
      <c r="O62" s="389"/>
    </row>
    <row r="63" spans="1:17" ht="18" customHeight="1" thickBot="1" x14ac:dyDescent="0.25">
      <c r="E63" s="276" t="s">
        <v>231</v>
      </c>
      <c r="F63" s="402" t="s">
        <v>481</v>
      </c>
      <c r="G63" s="402"/>
      <c r="H63" s="402"/>
      <c r="I63" s="402"/>
      <c r="J63" s="402"/>
      <c r="K63" s="402"/>
      <c r="L63" s="402"/>
      <c r="M63" s="402"/>
      <c r="N63" s="402"/>
      <c r="O63" s="403"/>
    </row>
  </sheetData>
  <sheetProtection algorithmName="SHA-512" hashValue="z48zm9310D67+NHEnpG9oGPGb6lLxldcUbmHGY7FMQqvk/lK3d8N+Qrb6WJm7MX3/iMiA1mPuiI+IuPjDSawbg==" saltValue="S9rtfgiLBOog4AJlnPJbdg==" spinCount="100000" sheet="1" autoFilter="0"/>
  <autoFilter ref="A21:Q43" xr:uid="{00000000-0009-0000-0000-00000B000000}"/>
  <mergeCells count="12">
    <mergeCell ref="F63:O63"/>
    <mergeCell ref="F59:O59"/>
    <mergeCell ref="F60:O60"/>
    <mergeCell ref="F61:O61"/>
    <mergeCell ref="F62:O62"/>
    <mergeCell ref="F58:O58"/>
    <mergeCell ref="E18:G18"/>
    <mergeCell ref="L18:O18"/>
    <mergeCell ref="I20:K20"/>
    <mergeCell ref="I48:K48"/>
    <mergeCell ref="E56:O56"/>
    <mergeCell ref="F57:O57"/>
  </mergeCells>
  <conditionalFormatting sqref="O7:O16 I23:K43 I51:K51">
    <cfRule type="cellIs" dxfId="17" priority="3" stopIfTrue="1" operator="equal">
      <formula>0</formula>
    </cfRule>
  </conditionalFormatting>
  <hyperlinks>
    <hyperlink ref="E18:G18" location="Angebotsübersicht!A1" display="Zur Angebotsübersicht" xr:uid="{00000000-0004-0000-0B00-000000000000}"/>
    <hyperlink ref="L18:O18" location="Leistungswerte!A1" display="Zu den Leistungswerten" xr:uid="{00000000-0004-0000-0B00-000001000000}"/>
  </hyperlinks>
  <printOptions horizontalCentered="1"/>
  <pageMargins left="0.55118110236220474" right="0.35433070866141736" top="0.31496062992125984" bottom="0.51181102362204722" header="0.19685039370078741" footer="0.31496062992125984"/>
  <pageSetup paperSize="9" scale="67" fitToHeight="0" orientation="landscape" r:id="rId1"/>
  <headerFooter alignWithMargins="0">
    <oddFooter>&amp;L&amp;8Ausschreibung Unterhaltsreinigung
&amp;A&amp;R&amp;8© Lean Consulting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59999389629810485"/>
    <pageSetUpPr fitToPage="1"/>
  </sheetPr>
  <dimension ref="A1:Q64"/>
  <sheetViews>
    <sheetView zoomScale="90" zoomScaleNormal="90" workbookViewId="0"/>
  </sheetViews>
  <sheetFormatPr baseColWidth="10" defaultColWidth="11.42578125" defaultRowHeight="12.75" x14ac:dyDescent="0.2"/>
  <cols>
    <col min="1" max="1" width="5.140625" style="1" customWidth="1"/>
    <col min="2" max="2" width="6.5703125" style="1" customWidth="1"/>
    <col min="3" max="3" width="10.85546875" style="1" customWidth="1"/>
    <col min="4" max="4" width="7.140625" style="1" customWidth="1"/>
    <col min="5" max="5" width="38.7109375" style="1" customWidth="1"/>
    <col min="6" max="6" width="17.42578125" style="1" customWidth="1"/>
    <col min="7" max="7" width="16.5703125" style="27" bestFit="1" customWidth="1"/>
    <col min="8" max="8" width="7.140625" style="28" customWidth="1"/>
    <col min="9" max="11" width="6.85546875" style="29" customWidth="1"/>
    <col min="12" max="12" width="17.140625" style="27" customWidth="1"/>
    <col min="13" max="13" width="12.85546875" style="30" customWidth="1"/>
    <col min="14" max="14" width="11.42578125" style="1"/>
    <col min="15" max="15" width="18.5703125" style="31" customWidth="1"/>
    <col min="16" max="16" width="11.42578125" style="32"/>
    <col min="17" max="17" width="14.28515625" style="32" customWidth="1"/>
    <col min="18" max="16384" width="11.42578125" style="1"/>
  </cols>
  <sheetData>
    <row r="1" spans="5:17" ht="13.5" thickBot="1" x14ac:dyDescent="0.25"/>
    <row r="2" spans="5:17" s="39" customFormat="1" ht="25.5" customHeight="1" thickBot="1" x14ac:dyDescent="0.25">
      <c r="E2" s="33"/>
      <c r="F2" s="34"/>
      <c r="G2" s="35" t="str">
        <f>IF(Bieter&lt;&gt;"",Bieter,"Bietername fehlt !")</f>
        <v>Bietername fehlt !</v>
      </c>
      <c r="H2" s="164"/>
      <c r="I2" s="36"/>
      <c r="J2" s="36"/>
      <c r="K2" s="36"/>
      <c r="L2" s="33"/>
      <c r="M2" s="34"/>
      <c r="N2" s="37"/>
      <c r="O2" s="35" t="s">
        <v>258</v>
      </c>
      <c r="P2" s="152">
        <v>6</v>
      </c>
      <c r="Q2" s="38"/>
    </row>
    <row r="3" spans="5:17" ht="13.5" thickBot="1" x14ac:dyDescent="0.25"/>
    <row r="4" spans="5:17" s="42" customFormat="1" ht="25.5" customHeight="1" thickBot="1" x14ac:dyDescent="0.25">
      <c r="E4" s="116" t="s">
        <v>55</v>
      </c>
      <c r="F4" s="118"/>
      <c r="G4" s="119"/>
      <c r="H4" s="41"/>
      <c r="K4" s="43"/>
      <c r="L4" s="117" t="s">
        <v>56</v>
      </c>
      <c r="M4" s="138"/>
      <c r="N4" s="138"/>
      <c r="O4" s="139"/>
      <c r="P4" s="44"/>
      <c r="Q4" s="44"/>
    </row>
    <row r="5" spans="5:17" s="42" customFormat="1" ht="18.75" customHeight="1" x14ac:dyDescent="0.2">
      <c r="E5" s="120" t="s">
        <v>45</v>
      </c>
      <c r="F5" s="121"/>
      <c r="G5" s="122">
        <v>24</v>
      </c>
      <c r="H5" s="41"/>
      <c r="I5" s="45"/>
      <c r="L5" s="120" t="s">
        <v>60</v>
      </c>
      <c r="M5" s="121"/>
      <c r="N5" s="140"/>
      <c r="O5" s="141" t="s">
        <v>69</v>
      </c>
      <c r="P5" s="44"/>
      <c r="Q5" s="44"/>
    </row>
    <row r="6" spans="5:17" s="42" customFormat="1" ht="18.75" customHeight="1" x14ac:dyDescent="0.2">
      <c r="E6" s="120" t="s">
        <v>495</v>
      </c>
      <c r="F6" s="121"/>
      <c r="G6" s="122">
        <v>2</v>
      </c>
      <c r="H6" s="41"/>
      <c r="I6" s="45"/>
      <c r="L6" s="120"/>
      <c r="M6" s="121"/>
      <c r="N6" s="140"/>
      <c r="O6" s="142"/>
      <c r="P6" s="44"/>
      <c r="Q6" s="44"/>
    </row>
    <row r="7" spans="5:17" s="42" customFormat="1" ht="18.75" customHeight="1" x14ac:dyDescent="0.2">
      <c r="E7" s="120" t="s">
        <v>44</v>
      </c>
      <c r="F7" s="121"/>
      <c r="G7" s="123">
        <f>SUM($G$23:$G$48)</f>
        <v>279.38</v>
      </c>
      <c r="H7" s="41"/>
      <c r="I7" s="45"/>
      <c r="J7" s="45"/>
      <c r="L7" s="120" t="s">
        <v>44</v>
      </c>
      <c r="M7" s="121"/>
      <c r="N7" s="121"/>
      <c r="O7" s="143">
        <f>IF($O$5="JA",$G$57,0)</f>
        <v>0</v>
      </c>
      <c r="P7" s="44"/>
      <c r="Q7" s="44"/>
    </row>
    <row r="8" spans="5:17" s="42" customFormat="1" ht="18.75" customHeight="1" x14ac:dyDescent="0.2">
      <c r="E8" s="120" t="s">
        <v>48</v>
      </c>
      <c r="F8" s="121"/>
      <c r="G8" s="123">
        <f>G5*G7</f>
        <v>6705.12</v>
      </c>
      <c r="H8" s="41"/>
      <c r="I8" s="45"/>
      <c r="J8" s="45"/>
      <c r="L8" s="120" t="s">
        <v>48</v>
      </c>
      <c r="M8" s="121"/>
      <c r="N8" s="121"/>
      <c r="O8" s="143">
        <f>IF($O$5="JA",$L$57,0)</f>
        <v>0</v>
      </c>
      <c r="P8" s="44"/>
      <c r="Q8" s="44"/>
    </row>
    <row r="9" spans="5:17" s="42" customFormat="1" ht="18.75" customHeight="1" x14ac:dyDescent="0.2">
      <c r="E9" s="120" t="s">
        <v>49</v>
      </c>
      <c r="F9" s="121"/>
      <c r="G9" s="124">
        <f ca="1">SUM($O$23:$O$48)</f>
        <v>0</v>
      </c>
      <c r="H9" s="41"/>
      <c r="I9" s="45"/>
      <c r="J9" s="45"/>
      <c r="L9" s="120" t="s">
        <v>49</v>
      </c>
      <c r="M9" s="121"/>
      <c r="N9" s="121"/>
      <c r="O9" s="124">
        <f ca="1">IF($O$5="JA",$O$57,0)</f>
        <v>0</v>
      </c>
      <c r="P9" s="44"/>
      <c r="Q9" s="44"/>
    </row>
    <row r="10" spans="5:17" s="42" customFormat="1" ht="18.75" customHeight="1" x14ac:dyDescent="0.2">
      <c r="E10" s="120" t="s">
        <v>51</v>
      </c>
      <c r="F10" s="121"/>
      <c r="G10" s="124">
        <f ca="1">G9/G5</f>
        <v>0</v>
      </c>
      <c r="H10" s="41"/>
      <c r="I10" s="45"/>
      <c r="J10" s="45"/>
      <c r="L10" s="120"/>
      <c r="M10" s="121"/>
      <c r="N10" s="121"/>
      <c r="O10" s="144"/>
      <c r="P10" s="44"/>
      <c r="Q10" s="44"/>
    </row>
    <row r="11" spans="5:17" s="42" customFormat="1" ht="18.75" customHeight="1" x14ac:dyDescent="0.2">
      <c r="E11" s="120"/>
      <c r="F11" s="121"/>
      <c r="G11" s="125"/>
      <c r="H11" s="41"/>
      <c r="I11" s="45"/>
      <c r="J11" s="45"/>
      <c r="L11" s="120" t="s">
        <v>50</v>
      </c>
      <c r="M11" s="121"/>
      <c r="N11" s="121"/>
      <c r="O11" s="125" t="e">
        <f ca="1">IF($O$5="JA",$O$8/$O$9,0)</f>
        <v>#DIV/0!</v>
      </c>
      <c r="P11" s="44"/>
      <c r="Q11" s="44"/>
    </row>
    <row r="12" spans="5:17" s="42" customFormat="1" ht="18.75" customHeight="1" thickBot="1" x14ac:dyDescent="0.25">
      <c r="E12" s="126" t="s">
        <v>57</v>
      </c>
      <c r="F12" s="127"/>
      <c r="G12" s="128">
        <f ca="1">IF(G9&gt;0,G14/G9,0)</f>
        <v>0</v>
      </c>
      <c r="H12" s="41"/>
      <c r="I12" s="45"/>
      <c r="J12" s="45"/>
      <c r="L12" s="126" t="s">
        <v>57</v>
      </c>
      <c r="M12" s="127"/>
      <c r="N12" s="127"/>
      <c r="O12" s="145" t="e">
        <f ca="1">IF($O$5="JA",$O$14/$O$9,0)</f>
        <v>#DIV/0!</v>
      </c>
      <c r="P12" s="44"/>
      <c r="Q12" s="44"/>
    </row>
    <row r="13" spans="5:17" s="42" customFormat="1" ht="6.75" customHeight="1" thickBot="1" x14ac:dyDescent="0.25">
      <c r="E13" s="121"/>
      <c r="F13" s="121"/>
      <c r="G13" s="129"/>
      <c r="H13" s="41"/>
      <c r="I13" s="45"/>
      <c r="J13" s="45"/>
      <c r="L13" s="121"/>
      <c r="M13" s="121"/>
      <c r="N13" s="121"/>
      <c r="O13" s="146"/>
      <c r="P13" s="44"/>
      <c r="Q13" s="44"/>
    </row>
    <row r="14" spans="5:17" s="42" customFormat="1" ht="18.75" customHeight="1" x14ac:dyDescent="0.2">
      <c r="E14" s="130" t="s">
        <v>65</v>
      </c>
      <c r="F14" s="131">
        <f ca="1">G14/G5</f>
        <v>0</v>
      </c>
      <c r="G14" s="132">
        <f ca="1">SUM(Q23:Q48)</f>
        <v>0</v>
      </c>
      <c r="H14" s="41"/>
      <c r="I14" s="45"/>
      <c r="J14" s="45"/>
      <c r="K14" s="46"/>
      <c r="L14" s="130" t="s">
        <v>52</v>
      </c>
      <c r="M14" s="147"/>
      <c r="N14" s="147"/>
      <c r="O14" s="148">
        <f ca="1">IF($O$5="JA",$Q$57,0)</f>
        <v>0</v>
      </c>
      <c r="P14" s="44"/>
      <c r="Q14" s="44"/>
    </row>
    <row r="15" spans="5:17" s="42" customFormat="1" ht="18.75" customHeight="1" x14ac:dyDescent="0.2">
      <c r="E15" s="133" t="s">
        <v>53</v>
      </c>
      <c r="F15" s="129"/>
      <c r="G15" s="134">
        <f ca="1">G14*0.19</f>
        <v>0</v>
      </c>
      <c r="H15" s="41"/>
      <c r="I15" s="45"/>
      <c r="J15" s="45"/>
      <c r="K15" s="46"/>
      <c r="L15" s="133" t="s">
        <v>53</v>
      </c>
      <c r="M15" s="121"/>
      <c r="N15" s="121"/>
      <c r="O15" s="149">
        <f ca="1">IF($O$5="JA",O14*0.19,0)</f>
        <v>0</v>
      </c>
      <c r="P15" s="44"/>
      <c r="Q15" s="44"/>
    </row>
    <row r="16" spans="5:17" s="42" customFormat="1" ht="18.75" customHeight="1" thickBot="1" x14ac:dyDescent="0.25">
      <c r="E16" s="135" t="s">
        <v>54</v>
      </c>
      <c r="F16" s="136"/>
      <c r="G16" s="137">
        <f ca="1">G14+G15</f>
        <v>0</v>
      </c>
      <c r="H16" s="41"/>
      <c r="I16" s="45"/>
      <c r="J16" s="45"/>
      <c r="K16" s="46"/>
      <c r="L16" s="135" t="s">
        <v>54</v>
      </c>
      <c r="M16" s="127"/>
      <c r="N16" s="127"/>
      <c r="O16" s="150">
        <f ca="1">IF(O14&lt;&gt;0,SUM(O14:O15),0)</f>
        <v>0</v>
      </c>
      <c r="P16" s="44"/>
      <c r="Q16" s="44"/>
    </row>
    <row r="17" spans="1:17" ht="6" customHeight="1" thickBot="1" x14ac:dyDescent="0.25">
      <c r="M17" s="1"/>
    </row>
    <row r="18" spans="1:17" ht="18" customHeight="1" thickBot="1" x14ac:dyDescent="0.25">
      <c r="A18" s="46"/>
      <c r="B18" s="46"/>
      <c r="C18" s="46"/>
      <c r="D18" s="46"/>
      <c r="E18" s="390" t="s">
        <v>63</v>
      </c>
      <c r="F18" s="391"/>
      <c r="G18" s="392"/>
      <c r="H18" s="47"/>
      <c r="I18" s="48"/>
      <c r="J18" s="48"/>
      <c r="K18" s="48"/>
      <c r="L18" s="393" t="s">
        <v>62</v>
      </c>
      <c r="M18" s="394"/>
      <c r="N18" s="394"/>
      <c r="O18" s="395"/>
      <c r="P18" s="49"/>
      <c r="Q18" s="49"/>
    </row>
    <row r="19" spans="1:17" ht="6" customHeight="1" thickBot="1" x14ac:dyDescent="0.25"/>
    <row r="20" spans="1:17" s="58" customFormat="1" x14ac:dyDescent="0.2">
      <c r="A20" s="50" t="s">
        <v>0</v>
      </c>
      <c r="B20" s="51" t="s">
        <v>40</v>
      </c>
      <c r="C20" s="51" t="s">
        <v>61</v>
      </c>
      <c r="D20" s="51" t="s">
        <v>41</v>
      </c>
      <c r="E20" s="52" t="s">
        <v>42</v>
      </c>
      <c r="F20" s="52" t="s">
        <v>24</v>
      </c>
      <c r="G20" s="53" t="s">
        <v>25</v>
      </c>
      <c r="H20" s="52" t="s">
        <v>1</v>
      </c>
      <c r="I20" s="396" t="s">
        <v>26</v>
      </c>
      <c r="J20" s="396"/>
      <c r="K20" s="396"/>
      <c r="L20" s="53" t="s">
        <v>33</v>
      </c>
      <c r="M20" s="54" t="s">
        <v>2</v>
      </c>
      <c r="N20" s="52" t="s">
        <v>15</v>
      </c>
      <c r="O20" s="55" t="s">
        <v>30</v>
      </c>
      <c r="P20" s="56" t="s">
        <v>13</v>
      </c>
      <c r="Q20" s="57" t="s">
        <v>31</v>
      </c>
    </row>
    <row r="21" spans="1:17" s="58" customFormat="1" ht="25.5" customHeight="1" thickBot="1" x14ac:dyDescent="0.25">
      <c r="A21" s="18"/>
      <c r="B21" s="19"/>
      <c r="C21" s="19"/>
      <c r="D21" s="19"/>
      <c r="E21" s="20" t="s">
        <v>43</v>
      </c>
      <c r="F21" s="20"/>
      <c r="G21" s="21" t="s">
        <v>32</v>
      </c>
      <c r="H21" s="20"/>
      <c r="I21" s="22" t="s">
        <v>27</v>
      </c>
      <c r="J21" s="22" t="s">
        <v>28</v>
      </c>
      <c r="K21" s="22" t="s">
        <v>29</v>
      </c>
      <c r="L21" s="21" t="s">
        <v>34</v>
      </c>
      <c r="M21" s="23" t="s">
        <v>35</v>
      </c>
      <c r="N21" s="20" t="s">
        <v>36</v>
      </c>
      <c r="O21" s="24" t="s">
        <v>37</v>
      </c>
      <c r="P21" s="25" t="s">
        <v>38</v>
      </c>
      <c r="Q21" s="26" t="s">
        <v>39</v>
      </c>
    </row>
    <row r="22" spans="1:17" ht="3.75" customHeight="1" x14ac:dyDescent="0.2">
      <c r="A22" s="68" t="s">
        <v>21</v>
      </c>
      <c r="B22" s="69" t="s">
        <v>21</v>
      </c>
      <c r="C22" s="69"/>
      <c r="D22" s="69" t="s">
        <v>21</v>
      </c>
      <c r="E22" s="69" t="s">
        <v>21</v>
      </c>
      <c r="F22" s="69" t="s">
        <v>21</v>
      </c>
      <c r="G22" s="70" t="s">
        <v>21</v>
      </c>
      <c r="H22" s="71" t="s">
        <v>21</v>
      </c>
      <c r="I22" s="72" t="s">
        <v>21</v>
      </c>
      <c r="J22" s="72" t="s">
        <v>21</v>
      </c>
      <c r="K22" s="72" t="s">
        <v>21</v>
      </c>
      <c r="L22" s="70" t="s">
        <v>21</v>
      </c>
      <c r="M22" s="73" t="s">
        <v>21</v>
      </c>
      <c r="N22" s="74" t="s">
        <v>21</v>
      </c>
      <c r="O22" s="75" t="s">
        <v>21</v>
      </c>
      <c r="P22" s="76" t="s">
        <v>21</v>
      </c>
      <c r="Q22" s="77" t="s">
        <v>21</v>
      </c>
    </row>
    <row r="23" spans="1:17" ht="24" customHeight="1" x14ac:dyDescent="0.2">
      <c r="A23" s="81"/>
      <c r="B23" s="82"/>
      <c r="C23" s="82"/>
      <c r="D23" s="82"/>
      <c r="E23" s="318" t="s">
        <v>492</v>
      </c>
      <c r="F23" s="82"/>
      <c r="G23" s="83"/>
      <c r="H23" s="245"/>
      <c r="I23" s="246"/>
      <c r="J23" s="246"/>
      <c r="K23" s="246"/>
      <c r="L23" s="83"/>
      <c r="M23" s="297"/>
      <c r="N23" s="84"/>
      <c r="O23" s="80"/>
      <c r="P23" s="298"/>
      <c r="Q23" s="85"/>
    </row>
    <row r="24" spans="1:17" ht="24" customHeight="1" x14ac:dyDescent="0.2">
      <c r="A24" s="81"/>
      <c r="B24" s="82"/>
      <c r="C24" s="82"/>
      <c r="D24" s="82"/>
      <c r="E24" s="412" t="s">
        <v>493</v>
      </c>
      <c r="F24" s="413"/>
      <c r="G24" s="414"/>
      <c r="H24" s="245"/>
      <c r="I24" s="246"/>
      <c r="J24" s="246">
        <v>2</v>
      </c>
      <c r="K24" s="246"/>
      <c r="L24" s="415" t="s">
        <v>491</v>
      </c>
      <c r="M24" s="416"/>
      <c r="N24" s="317">
        <v>0.125</v>
      </c>
      <c r="O24" s="80">
        <f ca="1">IF(P24&gt;0,(J24*12*N24*24),0)</f>
        <v>0</v>
      </c>
      <c r="P24" s="248">
        <f t="shared" ref="P24" ca="1" si="0">SVS_UR</f>
        <v>0</v>
      </c>
      <c r="Q24" s="85">
        <f t="shared" ref="Q24" ca="1" si="1">O24*P24</f>
        <v>0</v>
      </c>
    </row>
    <row r="25" spans="1:17" ht="24" customHeight="1" x14ac:dyDescent="0.2">
      <c r="A25" s="81">
        <v>1</v>
      </c>
      <c r="B25" s="82"/>
      <c r="C25" s="82"/>
      <c r="D25" s="82"/>
      <c r="E25" s="82" t="s">
        <v>419</v>
      </c>
      <c r="F25" s="82"/>
      <c r="G25" s="83"/>
      <c r="H25" s="304" t="s">
        <v>16</v>
      </c>
      <c r="I25" s="246"/>
      <c r="J25" s="246"/>
      <c r="K25" s="246"/>
      <c r="L25" s="83"/>
      <c r="M25" s="297"/>
      <c r="N25" s="84"/>
      <c r="O25" s="80"/>
      <c r="P25" s="298"/>
      <c r="Q25" s="85"/>
    </row>
    <row r="26" spans="1:17" ht="24" customHeight="1" x14ac:dyDescent="0.2">
      <c r="A26" s="81">
        <f>A23+1</f>
        <v>1</v>
      </c>
      <c r="B26" s="82"/>
      <c r="C26" s="82"/>
      <c r="D26" s="82"/>
      <c r="E26" s="82" t="s">
        <v>420</v>
      </c>
      <c r="F26" s="82"/>
      <c r="G26" s="83">
        <v>2.73</v>
      </c>
      <c r="H26" s="245"/>
      <c r="I26" s="246"/>
      <c r="J26" s="246">
        <v>2</v>
      </c>
      <c r="K26" s="246"/>
      <c r="L26" s="83"/>
      <c r="M26" s="297"/>
      <c r="N26" s="84"/>
      <c r="O26" s="80"/>
      <c r="P26" s="298"/>
      <c r="Q26" s="85"/>
    </row>
    <row r="27" spans="1:17" ht="24" customHeight="1" x14ac:dyDescent="0.2">
      <c r="A27" s="81">
        <f t="shared" ref="A27:A47" si="2">A26+1</f>
        <v>2</v>
      </c>
      <c r="B27" s="82"/>
      <c r="C27" s="82"/>
      <c r="D27" s="82"/>
      <c r="E27" s="82" t="s">
        <v>421</v>
      </c>
      <c r="F27" s="82"/>
      <c r="G27" s="83">
        <v>4.47</v>
      </c>
      <c r="H27" s="245"/>
      <c r="I27" s="246"/>
      <c r="J27" s="246">
        <v>2</v>
      </c>
      <c r="K27" s="246"/>
      <c r="L27" s="83"/>
      <c r="M27" s="297"/>
      <c r="N27" s="84"/>
      <c r="O27" s="80"/>
      <c r="P27" s="298"/>
      <c r="Q27" s="85"/>
    </row>
    <row r="28" spans="1:17" ht="24" customHeight="1" x14ac:dyDescent="0.2">
      <c r="A28" s="81">
        <f t="shared" si="2"/>
        <v>3</v>
      </c>
      <c r="B28" s="82"/>
      <c r="C28" s="82"/>
      <c r="D28" s="82"/>
      <c r="E28" s="82" t="s">
        <v>422</v>
      </c>
      <c r="F28" s="82"/>
      <c r="G28" s="83">
        <v>16.11</v>
      </c>
      <c r="H28" s="245"/>
      <c r="I28" s="246"/>
      <c r="J28" s="246">
        <v>2</v>
      </c>
      <c r="K28" s="246"/>
      <c r="L28" s="83"/>
      <c r="M28" s="297"/>
      <c r="N28" s="84"/>
      <c r="O28" s="80"/>
      <c r="P28" s="298"/>
      <c r="Q28" s="85"/>
    </row>
    <row r="29" spans="1:17" ht="24" customHeight="1" x14ac:dyDescent="0.2">
      <c r="A29" s="81">
        <f t="shared" si="2"/>
        <v>4</v>
      </c>
      <c r="B29" s="82"/>
      <c r="C29" s="82"/>
      <c r="D29" s="82"/>
      <c r="E29" s="82" t="s">
        <v>423</v>
      </c>
      <c r="F29" s="82"/>
      <c r="G29" s="83">
        <v>8.75</v>
      </c>
      <c r="H29" s="245"/>
      <c r="I29" s="246"/>
      <c r="J29" s="246">
        <v>2</v>
      </c>
      <c r="K29" s="246"/>
      <c r="L29" s="83"/>
      <c r="M29" s="297"/>
      <c r="N29" s="84"/>
      <c r="O29" s="80"/>
      <c r="P29" s="298"/>
      <c r="Q29" s="85"/>
    </row>
    <row r="30" spans="1:17" ht="24" customHeight="1" x14ac:dyDescent="0.2">
      <c r="A30" s="81">
        <f t="shared" si="2"/>
        <v>5</v>
      </c>
      <c r="B30" s="82"/>
      <c r="C30" s="82"/>
      <c r="D30" s="82"/>
      <c r="E30" s="82" t="s">
        <v>281</v>
      </c>
      <c r="F30" s="82"/>
      <c r="G30" s="83"/>
      <c r="H30" s="304" t="s">
        <v>16</v>
      </c>
      <c r="I30" s="246"/>
      <c r="J30" s="246"/>
      <c r="K30" s="246"/>
      <c r="L30" s="83"/>
      <c r="M30" s="297"/>
      <c r="N30" s="84"/>
      <c r="O30" s="80"/>
      <c r="P30" s="298"/>
      <c r="Q30" s="85"/>
    </row>
    <row r="31" spans="1:17" ht="24" customHeight="1" x14ac:dyDescent="0.2">
      <c r="A31" s="81">
        <f t="shared" si="2"/>
        <v>6</v>
      </c>
      <c r="B31" s="82"/>
      <c r="C31" s="82"/>
      <c r="D31" s="82"/>
      <c r="E31" s="82" t="s">
        <v>271</v>
      </c>
      <c r="F31" s="82"/>
      <c r="G31" s="83"/>
      <c r="H31" s="304" t="s">
        <v>16</v>
      </c>
      <c r="I31" s="246"/>
      <c r="J31" s="246"/>
      <c r="K31" s="246"/>
      <c r="L31" s="83"/>
      <c r="M31" s="297"/>
      <c r="N31" s="84"/>
      <c r="O31" s="80"/>
      <c r="P31" s="298"/>
      <c r="Q31" s="85"/>
    </row>
    <row r="32" spans="1:17" ht="24" customHeight="1" x14ac:dyDescent="0.2">
      <c r="A32" s="81">
        <f t="shared" si="2"/>
        <v>7</v>
      </c>
      <c r="B32" s="82"/>
      <c r="C32" s="82"/>
      <c r="D32" s="82"/>
      <c r="E32" s="82" t="s">
        <v>424</v>
      </c>
      <c r="F32" s="82"/>
      <c r="G32" s="83">
        <v>47.4</v>
      </c>
      <c r="H32" s="245"/>
      <c r="I32" s="246"/>
      <c r="J32" s="246">
        <v>2</v>
      </c>
      <c r="K32" s="246"/>
      <c r="L32" s="83"/>
      <c r="M32" s="297"/>
      <c r="N32" s="84"/>
      <c r="O32" s="80"/>
      <c r="P32" s="298"/>
      <c r="Q32" s="85"/>
    </row>
    <row r="33" spans="1:17" ht="24" customHeight="1" x14ac:dyDescent="0.2">
      <c r="A33" s="81">
        <f t="shared" si="2"/>
        <v>8</v>
      </c>
      <c r="B33" s="82"/>
      <c r="C33" s="82"/>
      <c r="D33" s="82"/>
      <c r="E33" s="82" t="s">
        <v>425</v>
      </c>
      <c r="F33" s="82"/>
      <c r="G33" s="83"/>
      <c r="H33" s="304" t="s">
        <v>16</v>
      </c>
      <c r="I33" s="246"/>
      <c r="J33" s="246"/>
      <c r="K33" s="246"/>
      <c r="L33" s="83"/>
      <c r="M33" s="297"/>
      <c r="N33" s="84"/>
      <c r="O33" s="80"/>
      <c r="P33" s="298"/>
      <c r="Q33" s="85"/>
    </row>
    <row r="34" spans="1:17" ht="24" customHeight="1" x14ac:dyDescent="0.2">
      <c r="A34" s="81">
        <f t="shared" si="2"/>
        <v>9</v>
      </c>
      <c r="B34" s="82"/>
      <c r="C34" s="82"/>
      <c r="D34" s="82"/>
      <c r="E34" s="82" t="s">
        <v>426</v>
      </c>
      <c r="F34" s="82"/>
      <c r="G34" s="83"/>
      <c r="H34" s="304" t="s">
        <v>16</v>
      </c>
      <c r="I34" s="246"/>
      <c r="J34" s="246"/>
      <c r="K34" s="246"/>
      <c r="L34" s="83"/>
      <c r="M34" s="297"/>
      <c r="N34" s="84"/>
      <c r="O34" s="80"/>
      <c r="P34" s="298"/>
      <c r="Q34" s="85"/>
    </row>
    <row r="35" spans="1:17" ht="24" customHeight="1" x14ac:dyDescent="0.2">
      <c r="A35" s="81">
        <f t="shared" si="2"/>
        <v>10</v>
      </c>
      <c r="B35" s="82"/>
      <c r="C35" s="82"/>
      <c r="D35" s="82"/>
      <c r="E35" s="82" t="s">
        <v>419</v>
      </c>
      <c r="F35" s="82"/>
      <c r="G35" s="83"/>
      <c r="H35" s="304" t="s">
        <v>16</v>
      </c>
      <c r="I35" s="246"/>
      <c r="J35" s="246"/>
      <c r="K35" s="246"/>
      <c r="L35" s="83"/>
      <c r="M35" s="297"/>
      <c r="N35" s="84"/>
      <c r="O35" s="80"/>
      <c r="P35" s="298"/>
      <c r="Q35" s="85"/>
    </row>
    <row r="36" spans="1:17" ht="24" customHeight="1" x14ac:dyDescent="0.2">
      <c r="A36" s="81">
        <f t="shared" si="2"/>
        <v>11</v>
      </c>
      <c r="B36" s="82"/>
      <c r="C36" s="82"/>
      <c r="D36" s="82"/>
      <c r="E36" s="82" t="s">
        <v>427</v>
      </c>
      <c r="F36" s="82"/>
      <c r="G36" s="83">
        <v>62.14</v>
      </c>
      <c r="H36" s="245"/>
      <c r="I36" s="246"/>
      <c r="J36" s="246">
        <v>2</v>
      </c>
      <c r="K36" s="246"/>
      <c r="L36" s="83"/>
      <c r="M36" s="297"/>
      <c r="N36" s="84"/>
      <c r="O36" s="80"/>
      <c r="P36" s="298"/>
      <c r="Q36" s="85"/>
    </row>
    <row r="37" spans="1:17" ht="24" customHeight="1" x14ac:dyDescent="0.2">
      <c r="A37" s="81">
        <f t="shared" si="2"/>
        <v>12</v>
      </c>
      <c r="B37" s="82"/>
      <c r="C37" s="82"/>
      <c r="D37" s="82"/>
      <c r="E37" s="82" t="s">
        <v>428</v>
      </c>
      <c r="F37" s="82"/>
      <c r="G37" s="83">
        <v>9.86</v>
      </c>
      <c r="H37" s="245"/>
      <c r="I37" s="246"/>
      <c r="J37" s="246">
        <v>2</v>
      </c>
      <c r="K37" s="246"/>
      <c r="L37" s="83"/>
      <c r="M37" s="297"/>
      <c r="N37" s="84"/>
      <c r="O37" s="80"/>
      <c r="P37" s="298"/>
      <c r="Q37" s="85"/>
    </row>
    <row r="38" spans="1:17" ht="24" customHeight="1" x14ac:dyDescent="0.2">
      <c r="A38" s="81">
        <f t="shared" si="2"/>
        <v>13</v>
      </c>
      <c r="B38" s="82"/>
      <c r="C38" s="82"/>
      <c r="D38" s="82"/>
      <c r="E38" s="82" t="s">
        <v>413</v>
      </c>
      <c r="F38" s="82"/>
      <c r="G38" s="83">
        <v>14.95</v>
      </c>
      <c r="H38" s="245"/>
      <c r="I38" s="246"/>
      <c r="J38" s="246">
        <v>2</v>
      </c>
      <c r="K38" s="246"/>
      <c r="L38" s="83"/>
      <c r="M38" s="297"/>
      <c r="N38" s="84"/>
      <c r="O38" s="80"/>
      <c r="P38" s="298"/>
      <c r="Q38" s="85"/>
    </row>
    <row r="39" spans="1:17" ht="24" customHeight="1" x14ac:dyDescent="0.2">
      <c r="A39" s="81">
        <f t="shared" si="2"/>
        <v>14</v>
      </c>
      <c r="B39" s="82"/>
      <c r="C39" s="82"/>
      <c r="D39" s="82"/>
      <c r="E39" s="82" t="s">
        <v>429</v>
      </c>
      <c r="F39" s="82"/>
      <c r="G39" s="83">
        <v>2.42</v>
      </c>
      <c r="H39" s="245"/>
      <c r="I39" s="246"/>
      <c r="J39" s="246">
        <v>2</v>
      </c>
      <c r="K39" s="246"/>
      <c r="L39" s="83"/>
      <c r="M39" s="297"/>
      <c r="N39" s="84"/>
      <c r="O39" s="80"/>
      <c r="P39" s="298"/>
      <c r="Q39" s="85"/>
    </row>
    <row r="40" spans="1:17" ht="24" customHeight="1" x14ac:dyDescent="0.2">
      <c r="A40" s="81">
        <f t="shared" si="2"/>
        <v>15</v>
      </c>
      <c r="B40" s="82"/>
      <c r="C40" s="82"/>
      <c r="D40" s="82"/>
      <c r="E40" s="82" t="s">
        <v>268</v>
      </c>
      <c r="F40" s="82"/>
      <c r="G40" s="83"/>
      <c r="H40" s="304" t="s">
        <v>16</v>
      </c>
      <c r="I40" s="246"/>
      <c r="J40" s="246"/>
      <c r="K40" s="246"/>
      <c r="L40" s="83"/>
      <c r="M40" s="297"/>
      <c r="N40" s="84"/>
      <c r="O40" s="80"/>
      <c r="P40" s="298"/>
      <c r="Q40" s="85"/>
    </row>
    <row r="41" spans="1:17" ht="24" customHeight="1" x14ac:dyDescent="0.2">
      <c r="A41" s="81">
        <f t="shared" si="2"/>
        <v>16</v>
      </c>
      <c r="B41" s="82"/>
      <c r="C41" s="82"/>
      <c r="D41" s="82"/>
      <c r="E41" s="82" t="s">
        <v>273</v>
      </c>
      <c r="F41" s="82"/>
      <c r="G41" s="83"/>
      <c r="H41" s="304" t="s">
        <v>16</v>
      </c>
      <c r="I41" s="246"/>
      <c r="J41" s="246"/>
      <c r="K41" s="246"/>
      <c r="L41" s="83"/>
      <c r="M41" s="297"/>
      <c r="N41" s="84"/>
      <c r="O41" s="80"/>
      <c r="P41" s="298"/>
      <c r="Q41" s="85"/>
    </row>
    <row r="42" spans="1:17" ht="24" customHeight="1" x14ac:dyDescent="0.2">
      <c r="A42" s="81">
        <f t="shared" si="2"/>
        <v>17</v>
      </c>
      <c r="B42" s="82"/>
      <c r="C42" s="82"/>
      <c r="D42" s="82"/>
      <c r="E42" s="82" t="s">
        <v>411</v>
      </c>
      <c r="F42" s="82"/>
      <c r="G42" s="83">
        <v>110.55</v>
      </c>
      <c r="H42" s="245"/>
      <c r="I42" s="246"/>
      <c r="J42" s="246">
        <v>2</v>
      </c>
      <c r="K42" s="246"/>
      <c r="L42" s="83"/>
      <c r="M42" s="297"/>
      <c r="N42" s="84"/>
      <c r="O42" s="80"/>
      <c r="P42" s="298"/>
      <c r="Q42" s="85"/>
    </row>
    <row r="43" spans="1:17" ht="24" customHeight="1" x14ac:dyDescent="0.2">
      <c r="A43" s="81">
        <f t="shared" si="2"/>
        <v>18</v>
      </c>
      <c r="B43" s="82"/>
      <c r="C43" s="82"/>
      <c r="D43" s="82"/>
      <c r="E43" s="82" t="s">
        <v>430</v>
      </c>
      <c r="F43" s="82"/>
      <c r="G43" s="83"/>
      <c r="H43" s="304" t="s">
        <v>16</v>
      </c>
      <c r="I43" s="246"/>
      <c r="J43" s="246"/>
      <c r="K43" s="246"/>
      <c r="L43" s="83"/>
      <c r="M43" s="297"/>
      <c r="N43" s="84"/>
      <c r="O43" s="80"/>
      <c r="P43" s="298"/>
      <c r="Q43" s="85"/>
    </row>
    <row r="44" spans="1:17" ht="24" customHeight="1" x14ac:dyDescent="0.2">
      <c r="A44" s="81">
        <f t="shared" si="2"/>
        <v>19</v>
      </c>
      <c r="B44" s="82"/>
      <c r="C44" s="82"/>
      <c r="D44" s="82"/>
      <c r="E44" s="82" t="s">
        <v>431</v>
      </c>
      <c r="F44" s="82"/>
      <c r="G44" s="83"/>
      <c r="H44" s="304" t="s">
        <v>16</v>
      </c>
      <c r="I44" s="246"/>
      <c r="J44" s="246"/>
      <c r="K44" s="246"/>
      <c r="L44" s="83"/>
      <c r="M44" s="297"/>
      <c r="N44" s="84"/>
      <c r="O44" s="80"/>
      <c r="P44" s="298"/>
      <c r="Q44" s="85"/>
    </row>
    <row r="45" spans="1:17" ht="24" customHeight="1" x14ac:dyDescent="0.2">
      <c r="A45" s="81">
        <f t="shared" si="2"/>
        <v>20</v>
      </c>
      <c r="B45" s="82"/>
      <c r="C45" s="82"/>
      <c r="D45" s="82"/>
      <c r="E45" s="82" t="s">
        <v>271</v>
      </c>
      <c r="F45" s="82"/>
      <c r="G45" s="83"/>
      <c r="H45" s="304" t="s">
        <v>16</v>
      </c>
      <c r="I45" s="246"/>
      <c r="J45" s="246"/>
      <c r="K45" s="246"/>
      <c r="L45" s="83"/>
      <c r="M45" s="297"/>
      <c r="N45" s="84"/>
      <c r="O45" s="80"/>
      <c r="P45" s="298"/>
      <c r="Q45" s="85"/>
    </row>
    <row r="46" spans="1:17" ht="24" customHeight="1" x14ac:dyDescent="0.2">
      <c r="A46" s="81">
        <f t="shared" si="2"/>
        <v>21</v>
      </c>
      <c r="B46" s="82"/>
      <c r="C46" s="82"/>
      <c r="D46" s="82"/>
      <c r="E46" s="82" t="s">
        <v>281</v>
      </c>
      <c r="F46" s="82"/>
      <c r="G46" s="83"/>
      <c r="H46" s="304" t="s">
        <v>16</v>
      </c>
      <c r="I46" s="246"/>
      <c r="J46" s="246"/>
      <c r="K46" s="246"/>
      <c r="L46" s="83"/>
      <c r="M46" s="297"/>
      <c r="N46" s="84"/>
      <c r="O46" s="80"/>
      <c r="P46" s="298"/>
      <c r="Q46" s="85"/>
    </row>
    <row r="47" spans="1:17" ht="24" customHeight="1" x14ac:dyDescent="0.2">
      <c r="A47" s="81">
        <f t="shared" si="2"/>
        <v>22</v>
      </c>
      <c r="B47" s="82"/>
      <c r="C47" s="82"/>
      <c r="D47" s="82"/>
      <c r="E47" s="82" t="s">
        <v>432</v>
      </c>
      <c r="F47" s="82"/>
      <c r="G47" s="83"/>
      <c r="H47" s="304" t="s">
        <v>16</v>
      </c>
      <c r="I47" s="246"/>
      <c r="J47" s="246"/>
      <c r="K47" s="246"/>
      <c r="L47" s="83"/>
      <c r="M47" s="297"/>
      <c r="N47" s="84"/>
      <c r="O47" s="80"/>
      <c r="P47" s="298"/>
      <c r="Q47" s="85"/>
    </row>
    <row r="48" spans="1:17" ht="3.75" customHeight="1" thickBot="1" x14ac:dyDescent="0.25">
      <c r="A48" s="86"/>
      <c r="B48" s="87"/>
      <c r="C48" s="87"/>
      <c r="D48" s="87"/>
      <c r="E48" s="87"/>
      <c r="F48" s="87"/>
      <c r="G48" s="88"/>
      <c r="H48" s="89"/>
      <c r="I48" s="90"/>
      <c r="J48" s="90"/>
      <c r="K48" s="90"/>
      <c r="L48" s="88"/>
      <c r="M48" s="91"/>
      <c r="N48" s="87"/>
      <c r="O48" s="92"/>
      <c r="P48" s="93"/>
      <c r="Q48" s="94"/>
    </row>
    <row r="49" spans="1:17" s="46" customFormat="1" ht="25.5" customHeight="1" thickBot="1" x14ac:dyDescent="0.25">
      <c r="A49" s="40" t="s">
        <v>47</v>
      </c>
      <c r="B49" s="95"/>
      <c r="C49" s="95"/>
      <c r="D49" s="95"/>
      <c r="E49" s="95"/>
      <c r="F49" s="96"/>
      <c r="G49" s="97">
        <f>SUBTOTAL(9,G23:G48)</f>
        <v>279.38</v>
      </c>
      <c r="H49" s="98"/>
      <c r="I49" s="99"/>
      <c r="J49" s="99"/>
      <c r="K49" s="99"/>
      <c r="L49" s="97"/>
      <c r="M49" s="100"/>
      <c r="N49" s="95"/>
      <c r="O49" s="101">
        <f ca="1">SUBTOTAL(9,O23:O48)</f>
        <v>0</v>
      </c>
      <c r="P49" s="102"/>
      <c r="Q49" s="220">
        <f ca="1">SUBTOTAL(9,Q23:Q48)</f>
        <v>0</v>
      </c>
    </row>
    <row r="51" spans="1:17" ht="13.5" thickBot="1" x14ac:dyDescent="0.25"/>
    <row r="52" spans="1:17" s="58" customFormat="1" x14ac:dyDescent="0.2">
      <c r="A52" s="50" t="s">
        <v>0</v>
      </c>
      <c r="B52" s="51" t="s">
        <v>40</v>
      </c>
      <c r="C52" s="51"/>
      <c r="D52" s="51" t="s">
        <v>41</v>
      </c>
      <c r="E52" s="52" t="s">
        <v>42</v>
      </c>
      <c r="F52" s="52" t="s">
        <v>24</v>
      </c>
      <c r="G52" s="53" t="s">
        <v>25</v>
      </c>
      <c r="H52" s="52" t="s">
        <v>1</v>
      </c>
      <c r="I52" s="396" t="s">
        <v>26</v>
      </c>
      <c r="J52" s="396"/>
      <c r="K52" s="396"/>
      <c r="L52" s="53" t="s">
        <v>33</v>
      </c>
      <c r="M52" s="54" t="s">
        <v>2</v>
      </c>
      <c r="N52" s="52" t="s">
        <v>15</v>
      </c>
      <c r="O52" s="55" t="s">
        <v>30</v>
      </c>
      <c r="P52" s="56" t="s">
        <v>13</v>
      </c>
      <c r="Q52" s="57" t="s">
        <v>31</v>
      </c>
    </row>
    <row r="53" spans="1:17" s="58" customFormat="1" ht="25.5" customHeight="1" thickBot="1" x14ac:dyDescent="0.25">
      <c r="A53" s="59"/>
      <c r="B53" s="60"/>
      <c r="C53" s="60"/>
      <c r="D53" s="60"/>
      <c r="E53" s="61" t="s">
        <v>43</v>
      </c>
      <c r="F53" s="61"/>
      <c r="G53" s="62" t="s">
        <v>32</v>
      </c>
      <c r="H53" s="61"/>
      <c r="I53" s="63" t="s">
        <v>27</v>
      </c>
      <c r="J53" s="63" t="s">
        <v>28</v>
      </c>
      <c r="K53" s="63" t="s">
        <v>29</v>
      </c>
      <c r="L53" s="62" t="s">
        <v>34</v>
      </c>
      <c r="M53" s="64" t="s">
        <v>35</v>
      </c>
      <c r="N53" s="61" t="s">
        <v>36</v>
      </c>
      <c r="O53" s="65" t="s">
        <v>37</v>
      </c>
      <c r="P53" s="66" t="s">
        <v>38</v>
      </c>
      <c r="Q53" s="67" t="s">
        <v>39</v>
      </c>
    </row>
    <row r="54" spans="1:17" ht="3.75" customHeight="1" x14ac:dyDescent="0.2">
      <c r="A54" s="68" t="s">
        <v>21</v>
      </c>
      <c r="B54" s="69" t="s">
        <v>21</v>
      </c>
      <c r="C54" s="69"/>
      <c r="D54" s="69" t="s">
        <v>21</v>
      </c>
      <c r="E54" s="69" t="s">
        <v>21</v>
      </c>
      <c r="F54" s="69" t="s">
        <v>21</v>
      </c>
      <c r="G54" s="70" t="s">
        <v>21</v>
      </c>
      <c r="H54" s="71" t="s">
        <v>21</v>
      </c>
      <c r="I54" s="72" t="s">
        <v>21</v>
      </c>
      <c r="J54" s="72" t="s">
        <v>21</v>
      </c>
      <c r="K54" s="72" t="s">
        <v>21</v>
      </c>
      <c r="L54" s="70" t="s">
        <v>21</v>
      </c>
      <c r="M54" s="73" t="s">
        <v>21</v>
      </c>
      <c r="N54" s="74" t="s">
        <v>21</v>
      </c>
      <c r="O54" s="75" t="s">
        <v>21</v>
      </c>
      <c r="P54" s="76" t="s">
        <v>21</v>
      </c>
      <c r="Q54" s="77" t="s">
        <v>21</v>
      </c>
    </row>
    <row r="55" spans="1:17" ht="24" customHeight="1" x14ac:dyDescent="0.2">
      <c r="A55" s="81">
        <f>A47+1</f>
        <v>23</v>
      </c>
      <c r="B55" s="82"/>
      <c r="C55" s="82"/>
      <c r="D55" s="82"/>
      <c r="E55" s="82" t="s">
        <v>156</v>
      </c>
      <c r="F55" s="82"/>
      <c r="G55" s="325" t="s">
        <v>502</v>
      </c>
      <c r="H55" s="302" t="s">
        <v>398</v>
      </c>
      <c r="I55" s="79">
        <f>VLOOKUP($H55,Leistungswerte!$A$8:$E$54,3,FALSE)</f>
        <v>0</v>
      </c>
      <c r="J55" s="79">
        <f>VLOOKUP($H55,Leistungswerte!$A$8:$E$54,4,FALSE)</f>
        <v>0</v>
      </c>
      <c r="K55" s="79">
        <f>VLOOKUP($H55,Leistungswerte!$A$8:$E$54,5,FALSE)</f>
        <v>1</v>
      </c>
      <c r="L55" s="415" t="s">
        <v>503</v>
      </c>
      <c r="M55" s="416"/>
      <c r="N55" s="317">
        <f>N24*2</f>
        <v>0.25</v>
      </c>
      <c r="O55" s="80">
        <f ca="1">IF(P55&gt;0,K55*N55*24,0)</f>
        <v>0</v>
      </c>
      <c r="P55" s="162">
        <f ca="1">SVS_GR</f>
        <v>0</v>
      </c>
      <c r="Q55" s="85">
        <f ca="1">O55*P55</f>
        <v>0</v>
      </c>
    </row>
    <row r="56" spans="1:17" ht="3.75" customHeight="1" thickBot="1" x14ac:dyDescent="0.25">
      <c r="A56" s="103"/>
      <c r="B56" s="104"/>
      <c r="C56" s="104"/>
      <c r="D56" s="104"/>
      <c r="E56" s="104"/>
      <c r="F56" s="104"/>
      <c r="G56" s="105"/>
      <c r="H56" s="106"/>
      <c r="I56" s="107"/>
      <c r="J56" s="107"/>
      <c r="K56" s="107"/>
      <c r="L56" s="105"/>
      <c r="M56" s="108"/>
      <c r="N56" s="104"/>
      <c r="O56" s="109"/>
      <c r="P56" s="110"/>
      <c r="Q56" s="111"/>
    </row>
    <row r="57" spans="1:17" s="46" customFormat="1" ht="25.5" customHeight="1" thickBot="1" x14ac:dyDescent="0.25">
      <c r="A57" s="40" t="s">
        <v>58</v>
      </c>
      <c r="B57" s="95"/>
      <c r="C57" s="95"/>
      <c r="D57" s="95"/>
      <c r="E57" s="95"/>
      <c r="F57" s="96"/>
      <c r="G57" s="97">
        <f>SUM(G55:G56)</f>
        <v>0</v>
      </c>
      <c r="H57" s="98"/>
      <c r="I57" s="99"/>
      <c r="J57" s="99"/>
      <c r="K57" s="99"/>
      <c r="L57" s="97"/>
      <c r="M57" s="100"/>
      <c r="N57" s="95"/>
      <c r="O57" s="101">
        <f ca="1">SUM(O55:O56)</f>
        <v>0</v>
      </c>
      <c r="P57" s="102"/>
      <c r="Q57" s="220">
        <f ca="1">SUM(Q55:Q56)</f>
        <v>0</v>
      </c>
    </row>
    <row r="59" spans="1:17" ht="13.5" thickBot="1" x14ac:dyDescent="0.25"/>
    <row r="60" spans="1:17" ht="18" customHeight="1" thickBot="1" x14ac:dyDescent="0.25">
      <c r="E60" s="397" t="s">
        <v>155</v>
      </c>
      <c r="F60" s="398"/>
      <c r="G60" s="398"/>
      <c r="H60" s="398"/>
      <c r="I60" s="398"/>
      <c r="J60" s="398"/>
      <c r="K60" s="398"/>
      <c r="L60" s="398"/>
      <c r="M60" s="398"/>
      <c r="N60" s="398"/>
      <c r="O60" s="399"/>
    </row>
    <row r="61" spans="1:17" ht="18" customHeight="1" x14ac:dyDescent="0.2">
      <c r="E61" s="277" t="s">
        <v>225</v>
      </c>
      <c r="F61" s="400" t="s">
        <v>388</v>
      </c>
      <c r="G61" s="400"/>
      <c r="H61" s="400"/>
      <c r="I61" s="400"/>
      <c r="J61" s="400"/>
      <c r="K61" s="400"/>
      <c r="L61" s="400"/>
      <c r="M61" s="400"/>
      <c r="N61" s="400"/>
      <c r="O61" s="401"/>
    </row>
    <row r="62" spans="1:17" ht="18" customHeight="1" x14ac:dyDescent="0.2">
      <c r="E62" s="275" t="s">
        <v>226</v>
      </c>
      <c r="F62" s="388" t="s">
        <v>494</v>
      </c>
      <c r="G62" s="388"/>
      <c r="H62" s="388"/>
      <c r="I62" s="388"/>
      <c r="J62" s="388"/>
      <c r="K62" s="388"/>
      <c r="L62" s="388"/>
      <c r="M62" s="388"/>
      <c r="N62" s="388"/>
      <c r="O62" s="389"/>
    </row>
    <row r="63" spans="1:17" ht="18" customHeight="1" x14ac:dyDescent="0.2">
      <c r="E63" s="275" t="s">
        <v>227</v>
      </c>
      <c r="F63" s="388" t="s">
        <v>501</v>
      </c>
      <c r="G63" s="388"/>
      <c r="H63" s="388"/>
      <c r="I63" s="388"/>
      <c r="J63" s="388"/>
      <c r="K63" s="388"/>
      <c r="L63" s="388"/>
      <c r="M63" s="388"/>
      <c r="N63" s="388"/>
      <c r="O63" s="389"/>
    </row>
    <row r="64" spans="1:17" ht="18" customHeight="1" thickBot="1" x14ac:dyDescent="0.25">
      <c r="E64" s="276" t="s">
        <v>228</v>
      </c>
      <c r="F64" s="402" t="s">
        <v>475</v>
      </c>
      <c r="G64" s="402"/>
      <c r="H64" s="402"/>
      <c r="I64" s="402"/>
      <c r="J64" s="402"/>
      <c r="K64" s="402"/>
      <c r="L64" s="402"/>
      <c r="M64" s="402"/>
      <c r="N64" s="402"/>
      <c r="O64" s="403"/>
    </row>
  </sheetData>
  <sheetProtection algorithmName="SHA-512" hashValue="6uTqkGbvYNu2mAw0aMj22iGzXHAbLkrkq3Rier+F3HL/FTK9UhAbjiJLzakc9gxprwHrUaOnEBY7DRFgyKN4BQ==" saltValue="dNBzBNf6+65ZMTA+44COdQ==" spinCount="100000" sheet="1" autoFilter="0"/>
  <autoFilter ref="A21:Q47" xr:uid="{00000000-0009-0000-0000-00000C000000}"/>
  <mergeCells count="12">
    <mergeCell ref="F63:O63"/>
    <mergeCell ref="F64:O64"/>
    <mergeCell ref="F62:O62"/>
    <mergeCell ref="E18:G18"/>
    <mergeCell ref="L18:O18"/>
    <mergeCell ref="I20:K20"/>
    <mergeCell ref="I52:K52"/>
    <mergeCell ref="E60:O60"/>
    <mergeCell ref="F61:O61"/>
    <mergeCell ref="E24:G24"/>
    <mergeCell ref="L24:M24"/>
    <mergeCell ref="L55:M55"/>
  </mergeCells>
  <conditionalFormatting sqref="I23:K47">
    <cfRule type="cellIs" dxfId="16" priority="1" stopIfTrue="1" operator="equal">
      <formula>0</formula>
    </cfRule>
  </conditionalFormatting>
  <conditionalFormatting sqref="O7:O16 I55:K55">
    <cfRule type="cellIs" dxfId="15" priority="14" stopIfTrue="1" operator="equal">
      <formula>0</formula>
    </cfRule>
  </conditionalFormatting>
  <hyperlinks>
    <hyperlink ref="E18:G18" location="Angebotsübersicht!A1" display="Zur Angebotsübersicht" xr:uid="{00000000-0004-0000-0C00-000000000000}"/>
    <hyperlink ref="L18:O18" location="Leistungswerte!A1" display="Zu den Leistungswerten" xr:uid="{00000000-0004-0000-0C00-000001000000}"/>
  </hyperlinks>
  <printOptions horizontalCentered="1"/>
  <pageMargins left="0.55118110236220474" right="0.35433070866141736" top="0.31496062992125984" bottom="0.51181102362204722" header="0.19685039370078741" footer="0.31496062992125984"/>
  <pageSetup paperSize="9" scale="67" fitToHeight="0" orientation="landscape" r:id="rId1"/>
  <headerFooter alignWithMargins="0">
    <oddFooter>&amp;L&amp;8Ausschreibung Unterhaltsreinigung
&amp;A&amp;R&amp;8© Lean Consulting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59999389629810485"/>
    <pageSetUpPr fitToPage="1"/>
  </sheetPr>
  <dimension ref="A1:Q50"/>
  <sheetViews>
    <sheetView zoomScale="90" zoomScaleNormal="90" workbookViewId="0"/>
  </sheetViews>
  <sheetFormatPr baseColWidth="10" defaultColWidth="11.42578125" defaultRowHeight="12.75" x14ac:dyDescent="0.2"/>
  <cols>
    <col min="1" max="1" width="5.140625" style="1" customWidth="1"/>
    <col min="2" max="2" width="6.5703125" style="1" customWidth="1"/>
    <col min="3" max="3" width="10.85546875" style="1" customWidth="1"/>
    <col min="4" max="4" width="7.140625" style="1" customWidth="1"/>
    <col min="5" max="5" width="38.7109375" style="1" customWidth="1"/>
    <col min="6" max="6" width="17.42578125" style="1" customWidth="1"/>
    <col min="7" max="7" width="16.5703125" style="27" bestFit="1" customWidth="1"/>
    <col min="8" max="8" width="7.140625" style="28" customWidth="1"/>
    <col min="9" max="11" width="6.85546875" style="29" customWidth="1"/>
    <col min="12" max="12" width="17.140625" style="27" customWidth="1"/>
    <col min="13" max="13" width="12.85546875" style="30" customWidth="1"/>
    <col min="14" max="14" width="11.42578125" style="1"/>
    <col min="15" max="15" width="18.5703125" style="31" customWidth="1"/>
    <col min="16" max="16" width="11.42578125" style="32"/>
    <col min="17" max="17" width="14.28515625" style="32" customWidth="1"/>
    <col min="18" max="16384" width="11.42578125" style="1"/>
  </cols>
  <sheetData>
    <row r="1" spans="5:17" ht="13.5" thickBot="1" x14ac:dyDescent="0.25"/>
    <row r="2" spans="5:17" s="39" customFormat="1" ht="25.5" customHeight="1" thickBot="1" x14ac:dyDescent="0.25">
      <c r="E2" s="33"/>
      <c r="F2" s="34"/>
      <c r="G2" s="35" t="str">
        <f>IF(Bieter&lt;&gt;"",Bieter,"Bietername fehlt !")</f>
        <v>Bietername fehlt !</v>
      </c>
      <c r="H2" s="164"/>
      <c r="I2" s="36"/>
      <c r="J2" s="36"/>
      <c r="K2" s="36"/>
      <c r="L2" s="33"/>
      <c r="M2" s="34"/>
      <c r="N2" s="37"/>
      <c r="O2" s="35" t="s">
        <v>259</v>
      </c>
      <c r="P2" s="152">
        <v>6</v>
      </c>
      <c r="Q2" s="38"/>
    </row>
    <row r="3" spans="5:17" ht="13.5" thickBot="1" x14ac:dyDescent="0.25"/>
    <row r="4" spans="5:17" s="42" customFormat="1" ht="25.5" customHeight="1" thickBot="1" x14ac:dyDescent="0.25">
      <c r="E4" s="116" t="s">
        <v>55</v>
      </c>
      <c r="F4" s="118"/>
      <c r="G4" s="119"/>
      <c r="H4" s="41"/>
      <c r="K4" s="43"/>
      <c r="L4" s="117" t="s">
        <v>56</v>
      </c>
      <c r="M4" s="138"/>
      <c r="N4" s="138"/>
      <c r="O4" s="139"/>
      <c r="P4" s="44"/>
      <c r="Q4" s="44"/>
    </row>
    <row r="5" spans="5:17" s="42" customFormat="1" ht="18.75" customHeight="1" x14ac:dyDescent="0.2">
      <c r="E5" s="120" t="s">
        <v>45</v>
      </c>
      <c r="F5" s="121"/>
      <c r="G5" s="122">
        <v>12</v>
      </c>
      <c r="H5" s="41"/>
      <c r="I5" s="45"/>
      <c r="L5" s="120" t="s">
        <v>60</v>
      </c>
      <c r="M5" s="121"/>
      <c r="N5" s="140"/>
      <c r="O5" s="141" t="s">
        <v>69</v>
      </c>
      <c r="P5" s="44"/>
      <c r="Q5" s="44"/>
    </row>
    <row r="6" spans="5:17" s="42" customFormat="1" ht="18.75" customHeight="1" x14ac:dyDescent="0.2">
      <c r="E6" s="120" t="s">
        <v>495</v>
      </c>
      <c r="F6" s="121"/>
      <c r="G6" s="122">
        <v>1</v>
      </c>
      <c r="H6" s="41"/>
      <c r="I6" s="45"/>
      <c r="L6" s="120"/>
      <c r="M6" s="121"/>
      <c r="N6" s="140"/>
      <c r="O6" s="142"/>
      <c r="P6" s="44"/>
      <c r="Q6" s="44"/>
    </row>
    <row r="7" spans="5:17" s="42" customFormat="1" ht="18.75" customHeight="1" x14ac:dyDescent="0.2">
      <c r="E7" s="120" t="s">
        <v>44</v>
      </c>
      <c r="F7" s="121"/>
      <c r="G7" s="123">
        <f>SUM($G$23:$G$34)</f>
        <v>98.93</v>
      </c>
      <c r="H7" s="41"/>
      <c r="I7" s="45"/>
      <c r="J7" s="45"/>
      <c r="L7" s="120" t="s">
        <v>44</v>
      </c>
      <c r="M7" s="121"/>
      <c r="N7" s="121"/>
      <c r="O7" s="143">
        <f>IF($O$5="JA",$G$43,0)</f>
        <v>98.93</v>
      </c>
      <c r="P7" s="44"/>
      <c r="Q7" s="44"/>
    </row>
    <row r="8" spans="5:17" s="42" customFormat="1" ht="18.75" customHeight="1" x14ac:dyDescent="0.2">
      <c r="E8" s="120" t="s">
        <v>48</v>
      </c>
      <c r="F8" s="121"/>
      <c r="G8" s="123">
        <f>G5*G7</f>
        <v>1187.1600000000001</v>
      </c>
      <c r="H8" s="41"/>
      <c r="I8" s="45"/>
      <c r="J8" s="45"/>
      <c r="L8" s="120" t="s">
        <v>48</v>
      </c>
      <c r="M8" s="121"/>
      <c r="N8" s="121"/>
      <c r="O8" s="143">
        <f>IF($O$5="JA",$L$43,0)</f>
        <v>0</v>
      </c>
      <c r="P8" s="44"/>
      <c r="Q8" s="44"/>
    </row>
    <row r="9" spans="5:17" s="42" customFormat="1" ht="18.75" customHeight="1" x14ac:dyDescent="0.2">
      <c r="E9" s="120" t="s">
        <v>49</v>
      </c>
      <c r="F9" s="121"/>
      <c r="G9" s="124">
        <f ca="1">SUM($O$23:$O$34)</f>
        <v>0</v>
      </c>
      <c r="H9" s="41"/>
      <c r="I9" s="45"/>
      <c r="J9" s="45"/>
      <c r="L9" s="120" t="s">
        <v>49</v>
      </c>
      <c r="M9" s="121"/>
      <c r="N9" s="121"/>
      <c r="O9" s="124">
        <f ca="1">IF($O$5="JA",$O$43,0)</f>
        <v>0</v>
      </c>
      <c r="P9" s="44"/>
      <c r="Q9" s="44"/>
    </row>
    <row r="10" spans="5:17" s="42" customFormat="1" ht="18.75" customHeight="1" x14ac:dyDescent="0.2">
      <c r="E10" s="120" t="s">
        <v>51</v>
      </c>
      <c r="F10" s="121"/>
      <c r="G10" s="124">
        <f ca="1">G9/G5</f>
        <v>0</v>
      </c>
      <c r="H10" s="41"/>
      <c r="I10" s="45"/>
      <c r="J10" s="45"/>
      <c r="L10" s="120"/>
      <c r="M10" s="121"/>
      <c r="N10" s="121"/>
      <c r="O10" s="144"/>
      <c r="P10" s="44"/>
      <c r="Q10" s="44"/>
    </row>
    <row r="11" spans="5:17" s="42" customFormat="1" ht="18.75" customHeight="1" x14ac:dyDescent="0.2">
      <c r="E11" s="120"/>
      <c r="F11" s="121"/>
      <c r="G11" s="125"/>
      <c r="H11" s="41"/>
      <c r="I11" s="45"/>
      <c r="J11" s="45"/>
      <c r="L11" s="120" t="s">
        <v>50</v>
      </c>
      <c r="M11" s="121"/>
      <c r="N11" s="121"/>
      <c r="O11" s="125" t="e">
        <f ca="1">IF($O$5="JA",$O$8/$O$9,0)</f>
        <v>#DIV/0!</v>
      </c>
      <c r="P11" s="44"/>
      <c r="Q11" s="44"/>
    </row>
    <row r="12" spans="5:17" s="42" customFormat="1" ht="18.75" customHeight="1" thickBot="1" x14ac:dyDescent="0.25">
      <c r="E12" s="126" t="s">
        <v>57</v>
      </c>
      <c r="F12" s="127"/>
      <c r="G12" s="128">
        <f ca="1">IF(G9&gt;0,G14/G9,0)</f>
        <v>0</v>
      </c>
      <c r="H12" s="41"/>
      <c r="I12" s="45"/>
      <c r="J12" s="45"/>
      <c r="L12" s="126" t="s">
        <v>57</v>
      </c>
      <c r="M12" s="127"/>
      <c r="N12" s="127"/>
      <c r="O12" s="145" t="e">
        <f ca="1">IF($O$5="JA",$O$14/$O$9,0)</f>
        <v>#DIV/0!</v>
      </c>
      <c r="P12" s="44"/>
      <c r="Q12" s="44"/>
    </row>
    <row r="13" spans="5:17" s="42" customFormat="1" ht="6.75" customHeight="1" thickBot="1" x14ac:dyDescent="0.25">
      <c r="E13" s="121"/>
      <c r="F13" s="121"/>
      <c r="G13" s="129"/>
      <c r="H13" s="41"/>
      <c r="I13" s="45"/>
      <c r="J13" s="45"/>
      <c r="L13" s="121"/>
      <c r="M13" s="121"/>
      <c r="N13" s="121"/>
      <c r="O13" s="146"/>
      <c r="P13" s="44"/>
      <c r="Q13" s="44"/>
    </row>
    <row r="14" spans="5:17" s="42" customFormat="1" ht="18.75" customHeight="1" x14ac:dyDescent="0.2">
      <c r="E14" s="130" t="s">
        <v>65</v>
      </c>
      <c r="F14" s="131">
        <f ca="1">G14/G5</f>
        <v>0</v>
      </c>
      <c r="G14" s="132">
        <f ca="1">SUM(Q23:Q34)</f>
        <v>0</v>
      </c>
      <c r="H14" s="41"/>
      <c r="I14" s="45"/>
      <c r="J14" s="45"/>
      <c r="K14" s="46"/>
      <c r="L14" s="130" t="s">
        <v>52</v>
      </c>
      <c r="M14" s="147"/>
      <c r="N14" s="147"/>
      <c r="O14" s="148">
        <f ca="1">IF($O$5="JA",$Q$43,0)</f>
        <v>0</v>
      </c>
      <c r="P14" s="44"/>
      <c r="Q14" s="44"/>
    </row>
    <row r="15" spans="5:17" s="42" customFormat="1" ht="18.75" customHeight="1" x14ac:dyDescent="0.2">
      <c r="E15" s="133" t="s">
        <v>53</v>
      </c>
      <c r="F15" s="129"/>
      <c r="G15" s="134">
        <f ca="1">G14*0.19</f>
        <v>0</v>
      </c>
      <c r="H15" s="41"/>
      <c r="I15" s="45"/>
      <c r="J15" s="45"/>
      <c r="K15" s="46"/>
      <c r="L15" s="133" t="s">
        <v>53</v>
      </c>
      <c r="M15" s="121"/>
      <c r="N15" s="121"/>
      <c r="O15" s="149">
        <f ca="1">IF($O$5="JA",O14*0.19,0)</f>
        <v>0</v>
      </c>
      <c r="P15" s="44"/>
      <c r="Q15" s="44"/>
    </row>
    <row r="16" spans="5:17" s="42" customFormat="1" ht="18.75" customHeight="1" thickBot="1" x14ac:dyDescent="0.25">
      <c r="E16" s="135" t="s">
        <v>54</v>
      </c>
      <c r="F16" s="136"/>
      <c r="G16" s="137">
        <f ca="1">G14+G15</f>
        <v>0</v>
      </c>
      <c r="H16" s="41"/>
      <c r="I16" s="45"/>
      <c r="J16" s="45"/>
      <c r="K16" s="46"/>
      <c r="L16" s="135" t="s">
        <v>54</v>
      </c>
      <c r="M16" s="127"/>
      <c r="N16" s="127"/>
      <c r="O16" s="150">
        <f ca="1">IF(O14&lt;&gt;0,SUM(O14:O15),0)</f>
        <v>0</v>
      </c>
      <c r="P16" s="44"/>
      <c r="Q16" s="44"/>
    </row>
    <row r="17" spans="1:17" ht="6" customHeight="1" thickBot="1" x14ac:dyDescent="0.25">
      <c r="M17" s="1"/>
    </row>
    <row r="18" spans="1:17" ht="18" customHeight="1" thickBot="1" x14ac:dyDescent="0.25">
      <c r="A18" s="46"/>
      <c r="B18" s="46"/>
      <c r="C18" s="46"/>
      <c r="D18" s="46"/>
      <c r="E18" s="390" t="s">
        <v>63</v>
      </c>
      <c r="F18" s="391"/>
      <c r="G18" s="392"/>
      <c r="H18" s="47"/>
      <c r="I18" s="48"/>
      <c r="J18" s="48"/>
      <c r="K18" s="48"/>
      <c r="L18" s="393" t="s">
        <v>62</v>
      </c>
      <c r="M18" s="394"/>
      <c r="N18" s="394"/>
      <c r="O18" s="395"/>
      <c r="P18" s="49"/>
      <c r="Q18" s="49"/>
    </row>
    <row r="19" spans="1:17" ht="6" customHeight="1" thickBot="1" x14ac:dyDescent="0.25"/>
    <row r="20" spans="1:17" s="58" customFormat="1" x14ac:dyDescent="0.2">
      <c r="A20" s="50" t="s">
        <v>0</v>
      </c>
      <c r="B20" s="51" t="s">
        <v>40</v>
      </c>
      <c r="C20" s="51" t="s">
        <v>61</v>
      </c>
      <c r="D20" s="51" t="s">
        <v>41</v>
      </c>
      <c r="E20" s="52" t="s">
        <v>42</v>
      </c>
      <c r="F20" s="52" t="s">
        <v>24</v>
      </c>
      <c r="G20" s="53" t="s">
        <v>25</v>
      </c>
      <c r="H20" s="52" t="s">
        <v>1</v>
      </c>
      <c r="I20" s="396" t="s">
        <v>26</v>
      </c>
      <c r="J20" s="396"/>
      <c r="K20" s="396"/>
      <c r="L20" s="53" t="s">
        <v>33</v>
      </c>
      <c r="M20" s="54" t="s">
        <v>2</v>
      </c>
      <c r="N20" s="52" t="s">
        <v>15</v>
      </c>
      <c r="O20" s="55" t="s">
        <v>30</v>
      </c>
      <c r="P20" s="56" t="s">
        <v>13</v>
      </c>
      <c r="Q20" s="57" t="s">
        <v>31</v>
      </c>
    </row>
    <row r="21" spans="1:17" s="58" customFormat="1" ht="25.5" customHeight="1" thickBot="1" x14ac:dyDescent="0.25">
      <c r="A21" s="18"/>
      <c r="B21" s="19"/>
      <c r="C21" s="19"/>
      <c r="D21" s="19"/>
      <c r="E21" s="20" t="s">
        <v>43</v>
      </c>
      <c r="F21" s="20"/>
      <c r="G21" s="21" t="s">
        <v>32</v>
      </c>
      <c r="H21" s="20"/>
      <c r="I21" s="22" t="s">
        <v>27</v>
      </c>
      <c r="J21" s="22" t="s">
        <v>28</v>
      </c>
      <c r="K21" s="22" t="s">
        <v>29</v>
      </c>
      <c r="L21" s="21" t="s">
        <v>34</v>
      </c>
      <c r="M21" s="23" t="s">
        <v>35</v>
      </c>
      <c r="N21" s="20" t="s">
        <v>36</v>
      </c>
      <c r="O21" s="24" t="s">
        <v>37</v>
      </c>
      <c r="P21" s="25" t="s">
        <v>38</v>
      </c>
      <c r="Q21" s="26" t="s">
        <v>39</v>
      </c>
    </row>
    <row r="22" spans="1:17" ht="3.75" customHeight="1" x14ac:dyDescent="0.2">
      <c r="A22" s="68" t="s">
        <v>21</v>
      </c>
      <c r="B22" s="69" t="s">
        <v>21</v>
      </c>
      <c r="C22" s="69"/>
      <c r="D22" s="69" t="s">
        <v>21</v>
      </c>
      <c r="E22" s="69" t="s">
        <v>21</v>
      </c>
      <c r="F22" s="69" t="s">
        <v>21</v>
      </c>
      <c r="G22" s="70" t="s">
        <v>21</v>
      </c>
      <c r="H22" s="71" t="s">
        <v>21</v>
      </c>
      <c r="I22" s="72" t="s">
        <v>21</v>
      </c>
      <c r="J22" s="72" t="s">
        <v>21</v>
      </c>
      <c r="K22" s="72" t="s">
        <v>21</v>
      </c>
      <c r="L22" s="70" t="s">
        <v>21</v>
      </c>
      <c r="M22" s="73" t="s">
        <v>21</v>
      </c>
      <c r="N22" s="74" t="s">
        <v>21</v>
      </c>
      <c r="O22" s="75" t="s">
        <v>21</v>
      </c>
      <c r="P22" s="76" t="s">
        <v>21</v>
      </c>
      <c r="Q22" s="77" t="s">
        <v>21</v>
      </c>
    </row>
    <row r="23" spans="1:17" ht="24" customHeight="1" x14ac:dyDescent="0.2">
      <c r="A23" s="81"/>
      <c r="B23" s="82"/>
      <c r="C23" s="82"/>
      <c r="D23" s="82"/>
      <c r="E23" s="318" t="s">
        <v>492</v>
      </c>
      <c r="F23" s="82"/>
      <c r="G23" s="83"/>
      <c r="H23" s="245"/>
      <c r="I23" s="246"/>
      <c r="J23" s="246"/>
      <c r="K23" s="246"/>
      <c r="L23" s="83"/>
      <c r="M23" s="297"/>
      <c r="N23" s="84"/>
      <c r="O23" s="80"/>
      <c r="P23" s="298"/>
      <c r="Q23" s="85"/>
    </row>
    <row r="24" spans="1:17" ht="24" customHeight="1" x14ac:dyDescent="0.2">
      <c r="A24" s="81"/>
      <c r="B24" s="82"/>
      <c r="C24" s="82"/>
      <c r="D24" s="82"/>
      <c r="E24" s="412" t="s">
        <v>497</v>
      </c>
      <c r="F24" s="413"/>
      <c r="G24" s="414"/>
      <c r="H24" s="245"/>
      <c r="I24" s="246"/>
      <c r="J24" s="246">
        <v>1</v>
      </c>
      <c r="K24" s="246"/>
      <c r="L24" s="415" t="s">
        <v>491</v>
      </c>
      <c r="M24" s="416"/>
      <c r="N24" s="317">
        <v>4.1666666666666664E-2</v>
      </c>
      <c r="O24" s="80">
        <f ca="1">IF(P24&gt;0,(J24*12*N24*24),0)</f>
        <v>0</v>
      </c>
      <c r="P24" s="248">
        <f t="shared" ref="P24" ca="1" si="0">SVS_UR</f>
        <v>0</v>
      </c>
      <c r="Q24" s="85">
        <f t="shared" ref="Q24" ca="1" si="1">O24*P24</f>
        <v>0</v>
      </c>
    </row>
    <row r="25" spans="1:17" ht="24" customHeight="1" x14ac:dyDescent="0.2">
      <c r="A25" s="81">
        <v>1</v>
      </c>
      <c r="B25" s="82" t="s">
        <v>276</v>
      </c>
      <c r="C25" s="82"/>
      <c r="D25" s="82"/>
      <c r="E25" s="303" t="s">
        <v>418</v>
      </c>
      <c r="F25" s="82"/>
      <c r="G25" s="83"/>
      <c r="H25" s="304" t="s">
        <v>16</v>
      </c>
      <c r="I25" s="246"/>
      <c r="J25" s="246"/>
      <c r="K25" s="246"/>
      <c r="L25" s="83"/>
      <c r="M25" s="297"/>
      <c r="N25" s="84"/>
      <c r="O25" s="80"/>
      <c r="P25" s="298"/>
      <c r="Q25" s="85"/>
    </row>
    <row r="26" spans="1:17" ht="24" customHeight="1" x14ac:dyDescent="0.2">
      <c r="A26" s="81">
        <f>A25+1</f>
        <v>2</v>
      </c>
      <c r="B26" s="82" t="s">
        <v>276</v>
      </c>
      <c r="C26" s="82"/>
      <c r="D26" s="82"/>
      <c r="E26" s="303" t="s">
        <v>418</v>
      </c>
      <c r="F26" s="82"/>
      <c r="G26" s="83"/>
      <c r="H26" s="304" t="s">
        <v>16</v>
      </c>
      <c r="I26" s="246"/>
      <c r="J26" s="246"/>
      <c r="K26" s="246"/>
      <c r="L26" s="83"/>
      <c r="M26" s="297"/>
      <c r="N26" s="84"/>
      <c r="O26" s="80"/>
      <c r="P26" s="298"/>
      <c r="Q26" s="85"/>
    </row>
    <row r="27" spans="1:17" ht="24" customHeight="1" x14ac:dyDescent="0.2">
      <c r="A27" s="81">
        <f t="shared" ref="A27:A33" si="2">A26+1</f>
        <v>3</v>
      </c>
      <c r="B27" s="82" t="s">
        <v>276</v>
      </c>
      <c r="C27" s="82"/>
      <c r="D27" s="82"/>
      <c r="E27" s="82" t="s">
        <v>415</v>
      </c>
      <c r="F27" s="303" t="s">
        <v>436</v>
      </c>
      <c r="G27" s="83">
        <v>3.91</v>
      </c>
      <c r="H27" s="245"/>
      <c r="I27" s="246"/>
      <c r="J27" s="246">
        <v>1</v>
      </c>
      <c r="K27" s="246"/>
      <c r="L27" s="83"/>
      <c r="M27" s="297"/>
      <c r="N27" s="84"/>
      <c r="O27" s="80"/>
      <c r="P27" s="298"/>
      <c r="Q27" s="85"/>
    </row>
    <row r="28" spans="1:17" ht="24" customHeight="1" x14ac:dyDescent="0.2">
      <c r="A28" s="81">
        <f t="shared" si="2"/>
        <v>4</v>
      </c>
      <c r="B28" s="82" t="s">
        <v>276</v>
      </c>
      <c r="C28" s="82"/>
      <c r="D28" s="82"/>
      <c r="E28" s="82" t="s">
        <v>414</v>
      </c>
      <c r="F28" s="303" t="s">
        <v>436</v>
      </c>
      <c r="G28" s="83">
        <v>4.82</v>
      </c>
      <c r="H28" s="245"/>
      <c r="I28" s="246"/>
      <c r="J28" s="246">
        <v>1</v>
      </c>
      <c r="K28" s="246"/>
      <c r="L28" s="83"/>
      <c r="M28" s="297"/>
      <c r="N28" s="84"/>
      <c r="O28" s="80"/>
      <c r="P28" s="298"/>
      <c r="Q28" s="85"/>
    </row>
    <row r="29" spans="1:17" ht="24" customHeight="1" x14ac:dyDescent="0.2">
      <c r="A29" s="81">
        <f t="shared" si="2"/>
        <v>5</v>
      </c>
      <c r="B29" s="82" t="s">
        <v>289</v>
      </c>
      <c r="C29" s="82"/>
      <c r="D29" s="82"/>
      <c r="E29" s="82" t="s">
        <v>415</v>
      </c>
      <c r="F29" s="303" t="s">
        <v>436</v>
      </c>
      <c r="G29" s="83">
        <v>3.4</v>
      </c>
      <c r="H29" s="245"/>
      <c r="I29" s="246"/>
      <c r="J29" s="246">
        <v>1</v>
      </c>
      <c r="K29" s="246"/>
      <c r="L29" s="83"/>
      <c r="M29" s="297"/>
      <c r="N29" s="84"/>
      <c r="O29" s="80"/>
      <c r="P29" s="298"/>
      <c r="Q29" s="85"/>
    </row>
    <row r="30" spans="1:17" ht="24" customHeight="1" x14ac:dyDescent="0.2">
      <c r="A30" s="81">
        <f t="shared" si="2"/>
        <v>6</v>
      </c>
      <c r="B30" s="82" t="s">
        <v>289</v>
      </c>
      <c r="C30" s="82"/>
      <c r="D30" s="82"/>
      <c r="E30" s="82" t="s">
        <v>414</v>
      </c>
      <c r="F30" s="303" t="s">
        <v>436</v>
      </c>
      <c r="G30" s="83">
        <v>3.3</v>
      </c>
      <c r="H30" s="245"/>
      <c r="I30" s="246"/>
      <c r="J30" s="246">
        <v>1</v>
      </c>
      <c r="K30" s="246"/>
      <c r="L30" s="83"/>
      <c r="M30" s="297"/>
      <c r="N30" s="84"/>
      <c r="O30" s="80"/>
      <c r="P30" s="298"/>
      <c r="Q30" s="85"/>
    </row>
    <row r="31" spans="1:17" ht="24" customHeight="1" x14ac:dyDescent="0.2">
      <c r="A31" s="81">
        <f t="shared" si="2"/>
        <v>7</v>
      </c>
      <c r="B31" s="82" t="s">
        <v>289</v>
      </c>
      <c r="C31" s="82"/>
      <c r="D31" s="82"/>
      <c r="E31" s="303" t="s">
        <v>408</v>
      </c>
      <c r="F31" s="82"/>
      <c r="G31" s="325">
        <v>63.5</v>
      </c>
      <c r="H31" s="245"/>
      <c r="I31" s="246"/>
      <c r="J31" s="246">
        <v>1</v>
      </c>
      <c r="K31" s="246"/>
      <c r="L31" s="83"/>
      <c r="M31" s="297"/>
      <c r="N31" s="84"/>
      <c r="O31" s="80"/>
      <c r="P31" s="298"/>
      <c r="Q31" s="85"/>
    </row>
    <row r="32" spans="1:17" ht="24" customHeight="1" x14ac:dyDescent="0.2">
      <c r="A32" s="81">
        <f t="shared" si="2"/>
        <v>8</v>
      </c>
      <c r="B32" s="82" t="s">
        <v>289</v>
      </c>
      <c r="C32" s="82"/>
      <c r="D32" s="82"/>
      <c r="E32" s="303" t="s">
        <v>506</v>
      </c>
      <c r="F32" s="82"/>
      <c r="G32" s="325">
        <v>20</v>
      </c>
      <c r="H32" s="304" t="s">
        <v>16</v>
      </c>
      <c r="I32" s="246"/>
      <c r="J32" s="246"/>
      <c r="K32" s="246"/>
      <c r="L32" s="83"/>
      <c r="M32" s="297"/>
      <c r="N32" s="84"/>
      <c r="O32" s="80"/>
      <c r="P32" s="298"/>
      <c r="Q32" s="85"/>
    </row>
    <row r="33" spans="1:17" ht="24" customHeight="1" x14ac:dyDescent="0.2">
      <c r="A33" s="81">
        <f t="shared" si="2"/>
        <v>9</v>
      </c>
      <c r="B33" s="82" t="s">
        <v>289</v>
      </c>
      <c r="C33" s="82"/>
      <c r="D33" s="82"/>
      <c r="E33" s="303" t="s">
        <v>268</v>
      </c>
      <c r="F33" s="82"/>
      <c r="G33" s="325" t="s">
        <v>502</v>
      </c>
      <c r="H33" s="304" t="s">
        <v>16</v>
      </c>
      <c r="I33" s="246"/>
      <c r="J33" s="246"/>
      <c r="K33" s="246"/>
      <c r="L33" s="83"/>
      <c r="M33" s="297"/>
      <c r="N33" s="84"/>
      <c r="O33" s="80"/>
      <c r="P33" s="298"/>
      <c r="Q33" s="85"/>
    </row>
    <row r="34" spans="1:17" ht="3.75" customHeight="1" thickBot="1" x14ac:dyDescent="0.25">
      <c r="A34" s="86"/>
      <c r="B34" s="87"/>
      <c r="C34" s="87"/>
      <c r="D34" s="87"/>
      <c r="E34" s="87"/>
      <c r="F34" s="87"/>
      <c r="G34" s="88"/>
      <c r="H34" s="89"/>
      <c r="I34" s="90"/>
      <c r="J34" s="90"/>
      <c r="K34" s="90"/>
      <c r="L34" s="88"/>
      <c r="M34" s="91"/>
      <c r="N34" s="87"/>
      <c r="O34" s="92"/>
      <c r="P34" s="93"/>
      <c r="Q34" s="94"/>
    </row>
    <row r="35" spans="1:17" s="46" customFormat="1" ht="25.5" customHeight="1" thickBot="1" x14ac:dyDescent="0.25">
      <c r="A35" s="40" t="s">
        <v>47</v>
      </c>
      <c r="B35" s="95"/>
      <c r="C35" s="95"/>
      <c r="D35" s="95"/>
      <c r="E35" s="95"/>
      <c r="F35" s="96"/>
      <c r="G35" s="97">
        <f>SUBTOTAL(9,G23:G34)</f>
        <v>98.93</v>
      </c>
      <c r="H35" s="98"/>
      <c r="I35" s="99"/>
      <c r="J35" s="99"/>
      <c r="K35" s="99"/>
      <c r="L35" s="97"/>
      <c r="M35" s="100"/>
      <c r="N35" s="95"/>
      <c r="O35" s="101">
        <f ca="1">SUBTOTAL(9,O23:O34)</f>
        <v>0</v>
      </c>
      <c r="P35" s="102"/>
      <c r="Q35" s="220">
        <f ca="1">SUBTOTAL(9,Q23:Q34)</f>
        <v>0</v>
      </c>
    </row>
    <row r="37" spans="1:17" ht="13.5" thickBot="1" x14ac:dyDescent="0.25"/>
    <row r="38" spans="1:17" s="58" customFormat="1" x14ac:dyDescent="0.2">
      <c r="A38" s="50" t="s">
        <v>0</v>
      </c>
      <c r="B38" s="51" t="s">
        <v>40</v>
      </c>
      <c r="C38" s="51"/>
      <c r="D38" s="51" t="s">
        <v>41</v>
      </c>
      <c r="E38" s="52" t="s">
        <v>42</v>
      </c>
      <c r="F38" s="52" t="s">
        <v>24</v>
      </c>
      <c r="G38" s="53" t="s">
        <v>25</v>
      </c>
      <c r="H38" s="52" t="s">
        <v>1</v>
      </c>
      <c r="I38" s="396" t="s">
        <v>26</v>
      </c>
      <c r="J38" s="396"/>
      <c r="K38" s="396"/>
      <c r="L38" s="53" t="s">
        <v>33</v>
      </c>
      <c r="M38" s="54" t="s">
        <v>2</v>
      </c>
      <c r="N38" s="52" t="s">
        <v>15</v>
      </c>
      <c r="O38" s="55" t="s">
        <v>30</v>
      </c>
      <c r="P38" s="56" t="s">
        <v>13</v>
      </c>
      <c r="Q38" s="57" t="s">
        <v>31</v>
      </c>
    </row>
    <row r="39" spans="1:17" s="58" customFormat="1" ht="25.5" customHeight="1" thickBot="1" x14ac:dyDescent="0.25">
      <c r="A39" s="59"/>
      <c r="B39" s="60"/>
      <c r="C39" s="60"/>
      <c r="D39" s="60"/>
      <c r="E39" s="61" t="s">
        <v>43</v>
      </c>
      <c r="F39" s="61"/>
      <c r="G39" s="62" t="s">
        <v>32</v>
      </c>
      <c r="H39" s="61"/>
      <c r="I39" s="63" t="s">
        <v>27</v>
      </c>
      <c r="J39" s="63" t="s">
        <v>28</v>
      </c>
      <c r="K39" s="63" t="s">
        <v>29</v>
      </c>
      <c r="L39" s="62" t="s">
        <v>34</v>
      </c>
      <c r="M39" s="64" t="s">
        <v>35</v>
      </c>
      <c r="N39" s="61" t="s">
        <v>36</v>
      </c>
      <c r="O39" s="65" t="s">
        <v>37</v>
      </c>
      <c r="P39" s="66" t="s">
        <v>38</v>
      </c>
      <c r="Q39" s="67" t="s">
        <v>39</v>
      </c>
    </row>
    <row r="40" spans="1:17" ht="3.75" customHeight="1" x14ac:dyDescent="0.2">
      <c r="A40" s="68" t="s">
        <v>21</v>
      </c>
      <c r="B40" s="69" t="s">
        <v>21</v>
      </c>
      <c r="C40" s="69"/>
      <c r="D40" s="69" t="s">
        <v>21</v>
      </c>
      <c r="E40" s="69" t="s">
        <v>21</v>
      </c>
      <c r="F40" s="69" t="s">
        <v>21</v>
      </c>
      <c r="G40" s="70" t="s">
        <v>21</v>
      </c>
      <c r="H40" s="71" t="s">
        <v>21</v>
      </c>
      <c r="I40" s="72" t="s">
        <v>21</v>
      </c>
      <c r="J40" s="72" t="s">
        <v>21</v>
      </c>
      <c r="K40" s="72" t="s">
        <v>21</v>
      </c>
      <c r="L40" s="70" t="s">
        <v>21</v>
      </c>
      <c r="M40" s="73" t="s">
        <v>21</v>
      </c>
      <c r="N40" s="74" t="s">
        <v>21</v>
      </c>
      <c r="O40" s="75" t="s">
        <v>21</v>
      </c>
      <c r="P40" s="76" t="s">
        <v>21</v>
      </c>
      <c r="Q40" s="77" t="s">
        <v>21</v>
      </c>
    </row>
    <row r="41" spans="1:17" ht="24" customHeight="1" x14ac:dyDescent="0.2">
      <c r="A41" s="81">
        <f>A33+1</f>
        <v>10</v>
      </c>
      <c r="B41" s="82"/>
      <c r="C41" s="82"/>
      <c r="D41" s="82"/>
      <c r="E41" s="303" t="s">
        <v>598</v>
      </c>
      <c r="F41" s="82"/>
      <c r="G41" s="83">
        <f>IF($O$5="JA",SUM(G23:G34),0)</f>
        <v>98.93</v>
      </c>
      <c r="H41" s="302" t="s">
        <v>398</v>
      </c>
      <c r="I41" s="79">
        <f>VLOOKUP($H41,Leistungswerte!$A$8:$E$54,3,FALSE)</f>
        <v>0</v>
      </c>
      <c r="J41" s="79">
        <f>VLOOKUP($H41,Leistungswerte!$A$8:$E$54,4,FALSE)</f>
        <v>0</v>
      </c>
      <c r="K41" s="79">
        <f>VLOOKUP($H41,Leistungswerte!$A$8:$E$54,5,FALSE)</f>
        <v>1</v>
      </c>
      <c r="L41" s="415" t="s">
        <v>503</v>
      </c>
      <c r="M41" s="416"/>
      <c r="N41" s="317">
        <f>N24*2</f>
        <v>8.3333333333333329E-2</v>
      </c>
      <c r="O41" s="80">
        <f ca="1">IF(P41&gt;0,K41*N41*24,0)</f>
        <v>0</v>
      </c>
      <c r="P41" s="162">
        <f ca="1">SVS_GR</f>
        <v>0</v>
      </c>
      <c r="Q41" s="85">
        <f ca="1">O41*P41</f>
        <v>0</v>
      </c>
    </row>
    <row r="42" spans="1:17" ht="3.75" customHeight="1" thickBot="1" x14ac:dyDescent="0.25">
      <c r="A42" s="103"/>
      <c r="B42" s="104"/>
      <c r="C42" s="104"/>
      <c r="D42" s="104"/>
      <c r="E42" s="104"/>
      <c r="F42" s="104"/>
      <c r="G42" s="105"/>
      <c r="H42" s="106"/>
      <c r="I42" s="107"/>
      <c r="J42" s="107"/>
      <c r="K42" s="107"/>
      <c r="L42" s="105"/>
      <c r="M42" s="108"/>
      <c r="N42" s="104"/>
      <c r="O42" s="109"/>
      <c r="P42" s="110"/>
      <c r="Q42" s="111"/>
    </row>
    <row r="43" spans="1:17" s="46" customFormat="1" ht="25.5" customHeight="1" thickBot="1" x14ac:dyDescent="0.25">
      <c r="A43" s="40" t="s">
        <v>58</v>
      </c>
      <c r="B43" s="95"/>
      <c r="C43" s="95"/>
      <c r="D43" s="95"/>
      <c r="E43" s="95"/>
      <c r="F43" s="96"/>
      <c r="G43" s="97">
        <f>SUM(G41:G42)</f>
        <v>98.93</v>
      </c>
      <c r="H43" s="98"/>
      <c r="I43" s="99"/>
      <c r="J43" s="99"/>
      <c r="K43" s="99"/>
      <c r="L43" s="97"/>
      <c r="M43" s="100"/>
      <c r="N43" s="95"/>
      <c r="O43" s="101">
        <f ca="1">SUM(O41:O42)</f>
        <v>0</v>
      </c>
      <c r="P43" s="102"/>
      <c r="Q43" s="220">
        <f ca="1">SUM(Q41:Q42)</f>
        <v>0</v>
      </c>
    </row>
    <row r="45" spans="1:17" ht="13.5" thickBot="1" x14ac:dyDescent="0.25"/>
    <row r="46" spans="1:17" ht="18" customHeight="1" thickBot="1" x14ac:dyDescent="0.25">
      <c r="E46" s="397" t="s">
        <v>155</v>
      </c>
      <c r="F46" s="398"/>
      <c r="G46" s="398"/>
      <c r="H46" s="398"/>
      <c r="I46" s="398"/>
      <c r="J46" s="398"/>
      <c r="K46" s="398"/>
      <c r="L46" s="398"/>
      <c r="M46" s="398"/>
      <c r="N46" s="398"/>
      <c r="O46" s="399"/>
    </row>
    <row r="47" spans="1:17" ht="18" customHeight="1" x14ac:dyDescent="0.2">
      <c r="E47" s="277" t="s">
        <v>225</v>
      </c>
      <c r="F47" s="400" t="s">
        <v>389</v>
      </c>
      <c r="G47" s="400"/>
      <c r="H47" s="400"/>
      <c r="I47" s="400"/>
      <c r="J47" s="400"/>
      <c r="K47" s="400"/>
      <c r="L47" s="400"/>
      <c r="M47" s="400"/>
      <c r="N47" s="400"/>
      <c r="O47" s="401"/>
    </row>
    <row r="48" spans="1:17" ht="18" customHeight="1" x14ac:dyDescent="0.2">
      <c r="E48" s="275" t="s">
        <v>226</v>
      </c>
      <c r="F48" s="388" t="s">
        <v>443</v>
      </c>
      <c r="G48" s="388"/>
      <c r="H48" s="388"/>
      <c r="I48" s="388"/>
      <c r="J48" s="388"/>
      <c r="K48" s="388"/>
      <c r="L48" s="388"/>
      <c r="M48" s="388"/>
      <c r="N48" s="388"/>
      <c r="O48" s="389"/>
    </row>
    <row r="49" spans="5:15" ht="18" customHeight="1" x14ac:dyDescent="0.2">
      <c r="E49" s="275" t="s">
        <v>227</v>
      </c>
      <c r="F49" s="388" t="s">
        <v>501</v>
      </c>
      <c r="G49" s="388"/>
      <c r="H49" s="388"/>
      <c r="I49" s="388"/>
      <c r="J49" s="388"/>
      <c r="K49" s="388"/>
      <c r="L49" s="388"/>
      <c r="M49" s="388"/>
      <c r="N49" s="388"/>
      <c r="O49" s="389"/>
    </row>
    <row r="50" spans="5:15" ht="18" customHeight="1" thickBot="1" x14ac:dyDescent="0.25">
      <c r="E50" s="276" t="s">
        <v>228</v>
      </c>
      <c r="F50" s="402" t="s">
        <v>475</v>
      </c>
      <c r="G50" s="402"/>
      <c r="H50" s="402"/>
      <c r="I50" s="402"/>
      <c r="J50" s="402"/>
      <c r="K50" s="402"/>
      <c r="L50" s="402"/>
      <c r="M50" s="402"/>
      <c r="N50" s="402"/>
      <c r="O50" s="403"/>
    </row>
  </sheetData>
  <sheetProtection algorithmName="SHA-512" hashValue="ff8tv8ghluE6Vck44uoNInWaeQ0Gg2PkcdnrrLsMixRi+V6ti71EvC0DGenyRgAIv1YQN7p/RXcjcPg4TTA1Rg==" saltValue="Ml/XbaTwFwbtXwiGc0M2nQ==" spinCount="100000" sheet="1" autoFilter="0"/>
  <autoFilter ref="A21:Q33" xr:uid="{00000000-0009-0000-0000-00000D000000}"/>
  <mergeCells count="12">
    <mergeCell ref="F49:O49"/>
    <mergeCell ref="F50:O50"/>
    <mergeCell ref="F48:O48"/>
    <mergeCell ref="E18:G18"/>
    <mergeCell ref="L18:O18"/>
    <mergeCell ref="I20:K20"/>
    <mergeCell ref="I38:K38"/>
    <mergeCell ref="E46:O46"/>
    <mergeCell ref="F47:O47"/>
    <mergeCell ref="E24:G24"/>
    <mergeCell ref="L24:M24"/>
    <mergeCell ref="L41:M41"/>
  </mergeCells>
  <conditionalFormatting sqref="I23:K33">
    <cfRule type="cellIs" dxfId="14" priority="1" stopIfTrue="1" operator="equal">
      <formula>0</formula>
    </cfRule>
  </conditionalFormatting>
  <conditionalFormatting sqref="O7:O16 I41:K41">
    <cfRule type="cellIs" dxfId="13" priority="16" stopIfTrue="1" operator="equal">
      <formula>0</formula>
    </cfRule>
  </conditionalFormatting>
  <hyperlinks>
    <hyperlink ref="E18:G18" location="Angebotsübersicht!A1" display="Zur Angebotsübersicht" xr:uid="{00000000-0004-0000-0D00-000000000000}"/>
    <hyperlink ref="L18:O18" location="Leistungswerte!A1" display="Zu den Leistungswerten" xr:uid="{00000000-0004-0000-0D00-000001000000}"/>
  </hyperlinks>
  <printOptions horizontalCentered="1"/>
  <pageMargins left="0.55118110236220474" right="0.35433070866141736" top="0.31496062992125984" bottom="0.51181102362204722" header="0.19685039370078741" footer="0.31496062992125984"/>
  <pageSetup paperSize="9" scale="67" fitToHeight="0" orientation="landscape" r:id="rId1"/>
  <headerFooter alignWithMargins="0">
    <oddFooter>&amp;L&amp;8Ausschreibung Unterhaltsreinigung
&amp;A&amp;R&amp;8© Lean Consulting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 tint="0.59999389629810485"/>
    <pageSetUpPr fitToPage="1"/>
  </sheetPr>
  <dimension ref="A1:Q44"/>
  <sheetViews>
    <sheetView zoomScale="90" zoomScaleNormal="90" workbookViewId="0"/>
  </sheetViews>
  <sheetFormatPr baseColWidth="10" defaultColWidth="11.42578125" defaultRowHeight="12.75" x14ac:dyDescent="0.2"/>
  <cols>
    <col min="1" max="1" width="5.140625" style="1" customWidth="1"/>
    <col min="2" max="2" width="6.5703125" style="1" customWidth="1"/>
    <col min="3" max="3" width="10.85546875" style="1" customWidth="1"/>
    <col min="4" max="4" width="7.140625" style="1" customWidth="1"/>
    <col min="5" max="5" width="38.7109375" style="1" customWidth="1"/>
    <col min="6" max="6" width="17.42578125" style="1" customWidth="1"/>
    <col min="7" max="7" width="16.5703125" style="27" bestFit="1" customWidth="1"/>
    <col min="8" max="8" width="7.140625" style="28" customWidth="1"/>
    <col min="9" max="11" width="6.85546875" style="29" customWidth="1"/>
    <col min="12" max="12" width="17.140625" style="27" customWidth="1"/>
    <col min="13" max="13" width="12.85546875" style="30" customWidth="1"/>
    <col min="14" max="14" width="11.42578125" style="1"/>
    <col min="15" max="15" width="18.5703125" style="31" customWidth="1"/>
    <col min="16" max="16" width="11.42578125" style="32"/>
    <col min="17" max="17" width="14.28515625" style="32" customWidth="1"/>
    <col min="18" max="16384" width="11.42578125" style="1"/>
  </cols>
  <sheetData>
    <row r="1" spans="5:17" ht="13.5" thickBot="1" x14ac:dyDescent="0.25"/>
    <row r="2" spans="5:17" s="39" customFormat="1" ht="25.5" customHeight="1" thickBot="1" x14ac:dyDescent="0.25">
      <c r="E2" s="33"/>
      <c r="F2" s="34"/>
      <c r="G2" s="35" t="str">
        <f>IF(Bieter&lt;&gt;"",Bieter,"Bietername fehlt !")</f>
        <v>Bietername fehlt !</v>
      </c>
      <c r="H2" s="164"/>
      <c r="I2" s="36"/>
      <c r="J2" s="36"/>
      <c r="K2" s="36"/>
      <c r="L2" s="33"/>
      <c r="M2" s="34"/>
      <c r="N2" s="37"/>
      <c r="O2" s="35" t="s">
        <v>260</v>
      </c>
      <c r="P2" s="152">
        <v>6</v>
      </c>
      <c r="Q2" s="38"/>
    </row>
    <row r="3" spans="5:17" ht="13.5" thickBot="1" x14ac:dyDescent="0.25"/>
    <row r="4" spans="5:17" s="42" customFormat="1" ht="25.5" customHeight="1" thickBot="1" x14ac:dyDescent="0.25">
      <c r="E4" s="116" t="s">
        <v>55</v>
      </c>
      <c r="F4" s="118"/>
      <c r="G4" s="119"/>
      <c r="H4" s="41"/>
      <c r="K4" s="43"/>
      <c r="L4" s="117" t="s">
        <v>56</v>
      </c>
      <c r="M4" s="138"/>
      <c r="N4" s="138"/>
      <c r="O4" s="139"/>
      <c r="P4" s="44"/>
      <c r="Q4" s="44"/>
    </row>
    <row r="5" spans="5:17" s="42" customFormat="1" ht="18.75" customHeight="1" x14ac:dyDescent="0.2">
      <c r="E5" s="120" t="s">
        <v>45</v>
      </c>
      <c r="F5" s="121"/>
      <c r="G5" s="122">
        <v>12</v>
      </c>
      <c r="H5" s="41"/>
      <c r="I5" s="45"/>
      <c r="L5" s="120" t="s">
        <v>60</v>
      </c>
      <c r="M5" s="121"/>
      <c r="N5" s="140"/>
      <c r="O5" s="141" t="s">
        <v>69</v>
      </c>
      <c r="P5" s="44"/>
      <c r="Q5" s="44"/>
    </row>
    <row r="6" spans="5:17" s="42" customFormat="1" ht="18.75" customHeight="1" x14ac:dyDescent="0.2">
      <c r="E6" s="120" t="s">
        <v>495</v>
      </c>
      <c r="F6" s="121"/>
      <c r="G6" s="122">
        <v>1</v>
      </c>
      <c r="H6" s="41"/>
      <c r="I6" s="45"/>
      <c r="L6" s="120"/>
      <c r="M6" s="121"/>
      <c r="N6" s="140"/>
      <c r="O6" s="142"/>
      <c r="P6" s="44"/>
      <c r="Q6" s="44"/>
    </row>
    <row r="7" spans="5:17" s="42" customFormat="1" ht="18.75" customHeight="1" x14ac:dyDescent="0.2">
      <c r="E7" s="120" t="s">
        <v>44</v>
      </c>
      <c r="F7" s="121"/>
      <c r="G7" s="123">
        <f>SUM($G$23:$G$28)</f>
        <v>6.6199999999999992</v>
      </c>
      <c r="H7" s="41"/>
      <c r="I7" s="45"/>
      <c r="J7" s="45"/>
      <c r="L7" s="120" t="s">
        <v>44</v>
      </c>
      <c r="M7" s="121"/>
      <c r="N7" s="121"/>
      <c r="O7" s="143">
        <f>IF($O$5="JA",$G$37,0)</f>
        <v>6.6199999999999992</v>
      </c>
      <c r="P7" s="44"/>
      <c r="Q7" s="44"/>
    </row>
    <row r="8" spans="5:17" s="42" customFormat="1" ht="18.75" customHeight="1" x14ac:dyDescent="0.2">
      <c r="E8" s="120" t="s">
        <v>48</v>
      </c>
      <c r="F8" s="121"/>
      <c r="G8" s="123">
        <f>G5*G7</f>
        <v>79.44</v>
      </c>
      <c r="H8" s="41"/>
      <c r="I8" s="45"/>
      <c r="J8" s="45"/>
      <c r="L8" s="120" t="s">
        <v>48</v>
      </c>
      <c r="M8" s="121"/>
      <c r="N8" s="121"/>
      <c r="O8" s="143">
        <f>IF($O$5="JA",$L$37,0)</f>
        <v>0</v>
      </c>
      <c r="P8" s="44"/>
      <c r="Q8" s="44"/>
    </row>
    <row r="9" spans="5:17" s="42" customFormat="1" ht="18.75" customHeight="1" x14ac:dyDescent="0.2">
      <c r="E9" s="120" t="s">
        <v>49</v>
      </c>
      <c r="F9" s="121"/>
      <c r="G9" s="124">
        <f ca="1">SUM($O$23:$O$28)</f>
        <v>0</v>
      </c>
      <c r="H9" s="41"/>
      <c r="I9" s="45"/>
      <c r="J9" s="45"/>
      <c r="L9" s="120" t="s">
        <v>49</v>
      </c>
      <c r="M9" s="121"/>
      <c r="N9" s="121"/>
      <c r="O9" s="124">
        <f ca="1">IF($O$5="JA",$O$37,0)</f>
        <v>0</v>
      </c>
      <c r="P9" s="44"/>
      <c r="Q9" s="44"/>
    </row>
    <row r="10" spans="5:17" s="42" customFormat="1" ht="18.75" customHeight="1" x14ac:dyDescent="0.2">
      <c r="E10" s="120" t="s">
        <v>51</v>
      </c>
      <c r="F10" s="121"/>
      <c r="G10" s="124">
        <f ca="1">G9/G5</f>
        <v>0</v>
      </c>
      <c r="H10" s="41"/>
      <c r="I10" s="45"/>
      <c r="J10" s="45"/>
      <c r="L10" s="120"/>
      <c r="M10" s="121"/>
      <c r="N10" s="121"/>
      <c r="O10" s="144"/>
      <c r="P10" s="44"/>
      <c r="Q10" s="44"/>
    </row>
    <row r="11" spans="5:17" s="42" customFormat="1" ht="18.75" customHeight="1" x14ac:dyDescent="0.2">
      <c r="E11" s="120"/>
      <c r="F11" s="121"/>
      <c r="G11" s="125"/>
      <c r="H11" s="41"/>
      <c r="I11" s="45"/>
      <c r="J11" s="45"/>
      <c r="L11" s="120" t="s">
        <v>50</v>
      </c>
      <c r="M11" s="121"/>
      <c r="N11" s="121"/>
      <c r="O11" s="125" t="e">
        <f ca="1">IF($O$5="JA",$O$8/$O$9,0)</f>
        <v>#DIV/0!</v>
      </c>
      <c r="P11" s="44"/>
      <c r="Q11" s="44"/>
    </row>
    <row r="12" spans="5:17" s="42" customFormat="1" ht="18.75" customHeight="1" thickBot="1" x14ac:dyDescent="0.25">
      <c r="E12" s="126" t="s">
        <v>57</v>
      </c>
      <c r="F12" s="127"/>
      <c r="G12" s="128">
        <f ca="1">IF(G9&gt;0,G14/G9,0)</f>
        <v>0</v>
      </c>
      <c r="H12" s="41"/>
      <c r="I12" s="45"/>
      <c r="J12" s="45"/>
      <c r="L12" s="126" t="s">
        <v>57</v>
      </c>
      <c r="M12" s="127"/>
      <c r="N12" s="127"/>
      <c r="O12" s="145" t="e">
        <f ca="1">IF($O$5="JA",$O$14/$O$9,0)</f>
        <v>#DIV/0!</v>
      </c>
      <c r="P12" s="44"/>
      <c r="Q12" s="44"/>
    </row>
    <row r="13" spans="5:17" s="42" customFormat="1" ht="6.75" customHeight="1" thickBot="1" x14ac:dyDescent="0.25">
      <c r="E13" s="121"/>
      <c r="F13" s="121"/>
      <c r="G13" s="129"/>
      <c r="H13" s="41"/>
      <c r="I13" s="45"/>
      <c r="J13" s="45"/>
      <c r="L13" s="121"/>
      <c r="M13" s="121"/>
      <c r="N13" s="121"/>
      <c r="O13" s="146"/>
      <c r="P13" s="44"/>
      <c r="Q13" s="44"/>
    </row>
    <row r="14" spans="5:17" s="42" customFormat="1" ht="18.75" customHeight="1" x14ac:dyDescent="0.2">
      <c r="E14" s="130" t="s">
        <v>65</v>
      </c>
      <c r="F14" s="131">
        <f ca="1">G14/G5</f>
        <v>0</v>
      </c>
      <c r="G14" s="132">
        <f ca="1">SUM(Q23:Q28)</f>
        <v>0</v>
      </c>
      <c r="H14" s="41"/>
      <c r="I14" s="45"/>
      <c r="J14" s="45"/>
      <c r="K14" s="46"/>
      <c r="L14" s="130" t="s">
        <v>52</v>
      </c>
      <c r="M14" s="147"/>
      <c r="N14" s="147"/>
      <c r="O14" s="148">
        <f ca="1">IF($O$5="JA",$Q$37,0)</f>
        <v>0</v>
      </c>
      <c r="P14" s="44"/>
      <c r="Q14" s="44"/>
    </row>
    <row r="15" spans="5:17" s="42" customFormat="1" ht="18.75" customHeight="1" x14ac:dyDescent="0.2">
      <c r="E15" s="133" t="s">
        <v>53</v>
      </c>
      <c r="F15" s="129"/>
      <c r="G15" s="134">
        <f ca="1">G14*0.19</f>
        <v>0</v>
      </c>
      <c r="H15" s="41"/>
      <c r="I15" s="45"/>
      <c r="J15" s="45"/>
      <c r="K15" s="46"/>
      <c r="L15" s="133" t="s">
        <v>53</v>
      </c>
      <c r="M15" s="121"/>
      <c r="N15" s="121"/>
      <c r="O15" s="149">
        <f ca="1">IF($O$5="JA",O14*0.19,0)</f>
        <v>0</v>
      </c>
      <c r="P15" s="44"/>
      <c r="Q15" s="44"/>
    </row>
    <row r="16" spans="5:17" s="42" customFormat="1" ht="18.75" customHeight="1" thickBot="1" x14ac:dyDescent="0.25">
      <c r="E16" s="135" t="s">
        <v>54</v>
      </c>
      <c r="F16" s="136"/>
      <c r="G16" s="137">
        <f ca="1">G14+G15</f>
        <v>0</v>
      </c>
      <c r="H16" s="41"/>
      <c r="I16" s="45"/>
      <c r="J16" s="45"/>
      <c r="K16" s="46"/>
      <c r="L16" s="135" t="s">
        <v>54</v>
      </c>
      <c r="M16" s="127"/>
      <c r="N16" s="127"/>
      <c r="O16" s="150">
        <f ca="1">IF(O14&lt;&gt;0,SUM(O14:O15),0)</f>
        <v>0</v>
      </c>
      <c r="P16" s="44"/>
      <c r="Q16" s="44"/>
    </row>
    <row r="17" spans="1:17" ht="6" customHeight="1" thickBot="1" x14ac:dyDescent="0.25">
      <c r="M17" s="1"/>
    </row>
    <row r="18" spans="1:17" ht="18" customHeight="1" thickBot="1" x14ac:dyDescent="0.25">
      <c r="A18" s="46"/>
      <c r="B18" s="46"/>
      <c r="C18" s="46"/>
      <c r="D18" s="46"/>
      <c r="E18" s="390" t="s">
        <v>63</v>
      </c>
      <c r="F18" s="391"/>
      <c r="G18" s="392"/>
      <c r="H18" s="47"/>
      <c r="I18" s="48"/>
      <c r="J18" s="48"/>
      <c r="K18" s="48"/>
      <c r="L18" s="393" t="s">
        <v>62</v>
      </c>
      <c r="M18" s="394"/>
      <c r="N18" s="394"/>
      <c r="O18" s="395"/>
      <c r="P18" s="49"/>
      <c r="Q18" s="49"/>
    </row>
    <row r="19" spans="1:17" ht="6" customHeight="1" thickBot="1" x14ac:dyDescent="0.25"/>
    <row r="20" spans="1:17" s="58" customFormat="1" x14ac:dyDescent="0.2">
      <c r="A20" s="50" t="s">
        <v>0</v>
      </c>
      <c r="B20" s="51" t="s">
        <v>40</v>
      </c>
      <c r="C20" s="51" t="s">
        <v>61</v>
      </c>
      <c r="D20" s="51" t="s">
        <v>41</v>
      </c>
      <c r="E20" s="52" t="s">
        <v>42</v>
      </c>
      <c r="F20" s="52" t="s">
        <v>24</v>
      </c>
      <c r="G20" s="53" t="s">
        <v>25</v>
      </c>
      <c r="H20" s="52" t="s">
        <v>1</v>
      </c>
      <c r="I20" s="396" t="s">
        <v>26</v>
      </c>
      <c r="J20" s="396"/>
      <c r="K20" s="396"/>
      <c r="L20" s="53" t="s">
        <v>33</v>
      </c>
      <c r="M20" s="54" t="s">
        <v>2</v>
      </c>
      <c r="N20" s="52" t="s">
        <v>15</v>
      </c>
      <c r="O20" s="55" t="s">
        <v>30</v>
      </c>
      <c r="P20" s="56" t="s">
        <v>13</v>
      </c>
      <c r="Q20" s="57" t="s">
        <v>31</v>
      </c>
    </row>
    <row r="21" spans="1:17" s="58" customFormat="1" ht="25.5" customHeight="1" thickBot="1" x14ac:dyDescent="0.25">
      <c r="A21" s="18"/>
      <c r="B21" s="19"/>
      <c r="C21" s="19"/>
      <c r="D21" s="19"/>
      <c r="E21" s="20" t="s">
        <v>43</v>
      </c>
      <c r="F21" s="20"/>
      <c r="G21" s="21" t="s">
        <v>32</v>
      </c>
      <c r="H21" s="20"/>
      <c r="I21" s="22" t="s">
        <v>27</v>
      </c>
      <c r="J21" s="22" t="s">
        <v>28</v>
      </c>
      <c r="K21" s="22" t="s">
        <v>29</v>
      </c>
      <c r="L21" s="21" t="s">
        <v>34</v>
      </c>
      <c r="M21" s="23" t="s">
        <v>35</v>
      </c>
      <c r="N21" s="20" t="s">
        <v>36</v>
      </c>
      <c r="O21" s="24" t="s">
        <v>37</v>
      </c>
      <c r="P21" s="25" t="s">
        <v>38</v>
      </c>
      <c r="Q21" s="26" t="s">
        <v>39</v>
      </c>
    </row>
    <row r="22" spans="1:17" ht="3.75" customHeight="1" x14ac:dyDescent="0.2">
      <c r="A22" s="68" t="s">
        <v>21</v>
      </c>
      <c r="B22" s="69" t="s">
        <v>21</v>
      </c>
      <c r="C22" s="69"/>
      <c r="D22" s="69" t="s">
        <v>21</v>
      </c>
      <c r="E22" s="69" t="s">
        <v>21</v>
      </c>
      <c r="F22" s="69" t="s">
        <v>21</v>
      </c>
      <c r="G22" s="70" t="s">
        <v>21</v>
      </c>
      <c r="H22" s="71" t="s">
        <v>21</v>
      </c>
      <c r="I22" s="72" t="s">
        <v>21</v>
      </c>
      <c r="J22" s="72" t="s">
        <v>21</v>
      </c>
      <c r="K22" s="72" t="s">
        <v>21</v>
      </c>
      <c r="L22" s="70" t="s">
        <v>21</v>
      </c>
      <c r="M22" s="73" t="s">
        <v>21</v>
      </c>
      <c r="N22" s="74" t="s">
        <v>21</v>
      </c>
      <c r="O22" s="75" t="s">
        <v>21</v>
      </c>
      <c r="P22" s="76" t="s">
        <v>21</v>
      </c>
      <c r="Q22" s="77" t="s">
        <v>21</v>
      </c>
    </row>
    <row r="23" spans="1:17" ht="24" customHeight="1" x14ac:dyDescent="0.2">
      <c r="A23" s="81"/>
      <c r="B23" s="82"/>
      <c r="C23" s="82"/>
      <c r="D23" s="82"/>
      <c r="E23" s="318" t="s">
        <v>492</v>
      </c>
      <c r="F23" s="82"/>
      <c r="G23" s="83"/>
      <c r="H23" s="245"/>
      <c r="I23" s="246"/>
      <c r="J23" s="246"/>
      <c r="K23" s="246"/>
      <c r="L23" s="83"/>
      <c r="M23" s="297"/>
      <c r="N23" s="84"/>
      <c r="O23" s="80"/>
      <c r="P23" s="298"/>
      <c r="Q23" s="85"/>
    </row>
    <row r="24" spans="1:17" ht="24" customHeight="1" x14ac:dyDescent="0.2">
      <c r="A24" s="81"/>
      <c r="B24" s="82"/>
      <c r="C24" s="82"/>
      <c r="D24" s="82"/>
      <c r="E24" s="412" t="s">
        <v>496</v>
      </c>
      <c r="F24" s="413"/>
      <c r="G24" s="414"/>
      <c r="H24" s="245"/>
      <c r="I24" s="246"/>
      <c r="J24" s="246">
        <v>1</v>
      </c>
      <c r="K24" s="246"/>
      <c r="L24" s="415" t="s">
        <v>491</v>
      </c>
      <c r="M24" s="416"/>
      <c r="N24" s="317">
        <v>3.125E-2</v>
      </c>
      <c r="O24" s="80">
        <f ca="1">IF(P24&gt;0,(J24*12*N24*24),0)</f>
        <v>0</v>
      </c>
      <c r="P24" s="248">
        <f t="shared" ref="P24" ca="1" si="0">SVS_UR</f>
        <v>0</v>
      </c>
      <c r="Q24" s="85">
        <f t="shared" ref="Q24" ca="1" si="1">O24*P24</f>
        <v>0</v>
      </c>
    </row>
    <row r="25" spans="1:17" ht="24" customHeight="1" x14ac:dyDescent="0.2">
      <c r="A25" s="81">
        <v>1</v>
      </c>
      <c r="B25" s="303" t="s">
        <v>276</v>
      </c>
      <c r="C25" s="82"/>
      <c r="D25" s="82"/>
      <c r="E25" s="82" t="s">
        <v>416</v>
      </c>
      <c r="F25" s="82"/>
      <c r="G25" s="83"/>
      <c r="H25" s="304" t="s">
        <v>16</v>
      </c>
      <c r="I25" s="246"/>
      <c r="J25" s="246"/>
      <c r="K25" s="246"/>
      <c r="L25" s="83"/>
      <c r="M25" s="297"/>
      <c r="N25" s="84"/>
      <c r="O25" s="80"/>
      <c r="P25" s="298"/>
      <c r="Q25" s="85"/>
    </row>
    <row r="26" spans="1:17" ht="24" customHeight="1" x14ac:dyDescent="0.2">
      <c r="A26" s="81">
        <f>A25+1</f>
        <v>2</v>
      </c>
      <c r="B26" s="303" t="s">
        <v>276</v>
      </c>
      <c r="C26" s="82"/>
      <c r="D26" s="82"/>
      <c r="E26" s="82" t="s">
        <v>286</v>
      </c>
      <c r="F26" s="82"/>
      <c r="G26" s="83">
        <v>2.6</v>
      </c>
      <c r="H26" s="245"/>
      <c r="I26" s="246"/>
      <c r="J26" s="246">
        <v>1</v>
      </c>
      <c r="K26" s="246"/>
      <c r="L26" s="83"/>
      <c r="M26" s="297"/>
      <c r="N26" s="84"/>
      <c r="O26" s="80"/>
      <c r="P26" s="298"/>
      <c r="Q26" s="85"/>
    </row>
    <row r="27" spans="1:17" ht="24" customHeight="1" x14ac:dyDescent="0.2">
      <c r="A27" s="81">
        <f t="shared" ref="A27" si="2">A26+1</f>
        <v>3</v>
      </c>
      <c r="B27" s="303" t="s">
        <v>276</v>
      </c>
      <c r="C27" s="82"/>
      <c r="D27" s="82"/>
      <c r="E27" s="82" t="s">
        <v>417</v>
      </c>
      <c r="F27" s="82"/>
      <c r="G27" s="83">
        <v>4.0199999999999996</v>
      </c>
      <c r="H27" s="245"/>
      <c r="I27" s="246"/>
      <c r="J27" s="246">
        <v>1</v>
      </c>
      <c r="K27" s="246"/>
      <c r="L27" s="83"/>
      <c r="M27" s="297"/>
      <c r="N27" s="84"/>
      <c r="O27" s="80"/>
      <c r="P27" s="298"/>
      <c r="Q27" s="85"/>
    </row>
    <row r="28" spans="1:17" ht="3.75" customHeight="1" thickBot="1" x14ac:dyDescent="0.25">
      <c r="A28" s="86"/>
      <c r="B28" s="87"/>
      <c r="C28" s="87"/>
      <c r="D28" s="87"/>
      <c r="E28" s="87"/>
      <c r="F28" s="87"/>
      <c r="G28" s="88"/>
      <c r="H28" s="89"/>
      <c r="I28" s="90"/>
      <c r="J28" s="90"/>
      <c r="K28" s="90"/>
      <c r="L28" s="88"/>
      <c r="M28" s="91"/>
      <c r="N28" s="87"/>
      <c r="O28" s="92"/>
      <c r="P28" s="93"/>
      <c r="Q28" s="94"/>
    </row>
    <row r="29" spans="1:17" s="46" customFormat="1" ht="25.5" customHeight="1" thickBot="1" x14ac:dyDescent="0.25">
      <c r="A29" s="40" t="s">
        <v>47</v>
      </c>
      <c r="B29" s="95"/>
      <c r="C29" s="95"/>
      <c r="D29" s="95"/>
      <c r="E29" s="95"/>
      <c r="F29" s="96"/>
      <c r="G29" s="97">
        <f>SUBTOTAL(9,G23:G28)</f>
        <v>6.6199999999999992</v>
      </c>
      <c r="H29" s="98"/>
      <c r="I29" s="99"/>
      <c r="J29" s="99"/>
      <c r="K29" s="99"/>
      <c r="L29" s="97"/>
      <c r="M29" s="100"/>
      <c r="N29" s="95"/>
      <c r="O29" s="101">
        <f ca="1">SUBTOTAL(9,O23:O28)</f>
        <v>0</v>
      </c>
      <c r="P29" s="102"/>
      <c r="Q29" s="220">
        <f ca="1">SUBTOTAL(9,Q23:Q28)</f>
        <v>0</v>
      </c>
    </row>
    <row r="31" spans="1:17" ht="13.5" thickBot="1" x14ac:dyDescent="0.25"/>
    <row r="32" spans="1:17" s="58" customFormat="1" x14ac:dyDescent="0.2">
      <c r="A32" s="50" t="s">
        <v>0</v>
      </c>
      <c r="B32" s="51" t="s">
        <v>40</v>
      </c>
      <c r="C32" s="51"/>
      <c r="D32" s="51" t="s">
        <v>41</v>
      </c>
      <c r="E32" s="52" t="s">
        <v>42</v>
      </c>
      <c r="F32" s="52" t="s">
        <v>24</v>
      </c>
      <c r="G32" s="53" t="s">
        <v>25</v>
      </c>
      <c r="H32" s="52" t="s">
        <v>1</v>
      </c>
      <c r="I32" s="396" t="s">
        <v>26</v>
      </c>
      <c r="J32" s="396"/>
      <c r="K32" s="396"/>
      <c r="L32" s="53" t="s">
        <v>33</v>
      </c>
      <c r="M32" s="54" t="s">
        <v>2</v>
      </c>
      <c r="N32" s="52" t="s">
        <v>15</v>
      </c>
      <c r="O32" s="55" t="s">
        <v>30</v>
      </c>
      <c r="P32" s="56" t="s">
        <v>13</v>
      </c>
      <c r="Q32" s="57" t="s">
        <v>31</v>
      </c>
    </row>
    <row r="33" spans="1:17" s="58" customFormat="1" ht="25.5" customHeight="1" thickBot="1" x14ac:dyDescent="0.25">
      <c r="A33" s="59"/>
      <c r="B33" s="60"/>
      <c r="C33" s="60"/>
      <c r="D33" s="60"/>
      <c r="E33" s="61" t="s">
        <v>43</v>
      </c>
      <c r="F33" s="61"/>
      <c r="G33" s="62" t="s">
        <v>32</v>
      </c>
      <c r="H33" s="61"/>
      <c r="I33" s="63" t="s">
        <v>27</v>
      </c>
      <c r="J33" s="63" t="s">
        <v>28</v>
      </c>
      <c r="K33" s="63" t="s">
        <v>29</v>
      </c>
      <c r="L33" s="62" t="s">
        <v>34</v>
      </c>
      <c r="M33" s="64" t="s">
        <v>35</v>
      </c>
      <c r="N33" s="61" t="s">
        <v>36</v>
      </c>
      <c r="O33" s="65" t="s">
        <v>37</v>
      </c>
      <c r="P33" s="66" t="s">
        <v>38</v>
      </c>
      <c r="Q33" s="67" t="s">
        <v>39</v>
      </c>
    </row>
    <row r="34" spans="1:17" ht="3.75" customHeight="1" x14ac:dyDescent="0.2">
      <c r="A34" s="68" t="s">
        <v>21</v>
      </c>
      <c r="B34" s="69" t="s">
        <v>21</v>
      </c>
      <c r="C34" s="69"/>
      <c r="D34" s="69" t="s">
        <v>21</v>
      </c>
      <c r="E34" s="69" t="s">
        <v>21</v>
      </c>
      <c r="F34" s="69" t="s">
        <v>21</v>
      </c>
      <c r="G34" s="70" t="s">
        <v>21</v>
      </c>
      <c r="H34" s="71" t="s">
        <v>21</v>
      </c>
      <c r="I34" s="72" t="s">
        <v>21</v>
      </c>
      <c r="J34" s="72" t="s">
        <v>21</v>
      </c>
      <c r="K34" s="72" t="s">
        <v>21</v>
      </c>
      <c r="L34" s="70" t="s">
        <v>21</v>
      </c>
      <c r="M34" s="73" t="s">
        <v>21</v>
      </c>
      <c r="N34" s="74" t="s">
        <v>21</v>
      </c>
      <c r="O34" s="75" t="s">
        <v>21</v>
      </c>
      <c r="P34" s="76" t="s">
        <v>21</v>
      </c>
      <c r="Q34" s="77" t="s">
        <v>21</v>
      </c>
    </row>
    <row r="35" spans="1:17" ht="24" customHeight="1" x14ac:dyDescent="0.2">
      <c r="A35" s="81">
        <f>A27+1</f>
        <v>4</v>
      </c>
      <c r="B35" s="82"/>
      <c r="C35" s="82"/>
      <c r="D35" s="82"/>
      <c r="E35" s="303" t="s">
        <v>598</v>
      </c>
      <c r="F35" s="82"/>
      <c r="G35" s="83">
        <f>IF($O$5="JA",SUM(G23:G28),0)</f>
        <v>6.6199999999999992</v>
      </c>
      <c r="H35" s="302" t="s">
        <v>398</v>
      </c>
      <c r="I35" s="79">
        <f>VLOOKUP($H35,Leistungswerte!$A$8:$E$54,3,FALSE)</f>
        <v>0</v>
      </c>
      <c r="J35" s="79">
        <f>VLOOKUP($H35,Leistungswerte!$A$8:$E$54,4,FALSE)</f>
        <v>0</v>
      </c>
      <c r="K35" s="79">
        <f>VLOOKUP($H35,Leistungswerte!$A$8:$E$54,5,FALSE)</f>
        <v>1</v>
      </c>
      <c r="L35" s="415" t="s">
        <v>503</v>
      </c>
      <c r="M35" s="416"/>
      <c r="N35" s="317">
        <f>N24*2</f>
        <v>6.25E-2</v>
      </c>
      <c r="O35" s="80">
        <f ca="1">IF(P35&gt;0,K35*N35*24,0)</f>
        <v>0</v>
      </c>
      <c r="P35" s="162">
        <f ca="1">SVS_GR</f>
        <v>0</v>
      </c>
      <c r="Q35" s="85">
        <f ca="1">O35*P35</f>
        <v>0</v>
      </c>
    </row>
    <row r="36" spans="1:17" ht="3.75" customHeight="1" thickBot="1" x14ac:dyDescent="0.25">
      <c r="A36" s="103"/>
      <c r="B36" s="104"/>
      <c r="C36" s="104"/>
      <c r="D36" s="104"/>
      <c r="E36" s="104"/>
      <c r="F36" s="104"/>
      <c r="G36" s="105"/>
      <c r="H36" s="106"/>
      <c r="I36" s="107"/>
      <c r="J36" s="107"/>
      <c r="K36" s="107"/>
      <c r="L36" s="105"/>
      <c r="M36" s="108"/>
      <c r="N36" s="104"/>
      <c r="O36" s="109"/>
      <c r="P36" s="110"/>
      <c r="Q36" s="111"/>
    </row>
    <row r="37" spans="1:17" s="46" customFormat="1" ht="25.5" customHeight="1" thickBot="1" x14ac:dyDescent="0.25">
      <c r="A37" s="40" t="s">
        <v>58</v>
      </c>
      <c r="B37" s="95"/>
      <c r="C37" s="95"/>
      <c r="D37" s="95"/>
      <c r="E37" s="95"/>
      <c r="F37" s="96"/>
      <c r="G37" s="97">
        <f>SUM(G35:G36)</f>
        <v>6.6199999999999992</v>
      </c>
      <c r="H37" s="98"/>
      <c r="I37" s="99"/>
      <c r="J37" s="99"/>
      <c r="K37" s="99"/>
      <c r="L37" s="97"/>
      <c r="M37" s="100"/>
      <c r="N37" s="95"/>
      <c r="O37" s="101">
        <f ca="1">SUM(O35:O36)</f>
        <v>0</v>
      </c>
      <c r="P37" s="102"/>
      <c r="Q37" s="220">
        <f ca="1">SUM(Q35:Q36)</f>
        <v>0</v>
      </c>
    </row>
    <row r="39" spans="1:17" ht="13.5" thickBot="1" x14ac:dyDescent="0.25"/>
    <row r="40" spans="1:17" ht="18" customHeight="1" thickBot="1" x14ac:dyDescent="0.25">
      <c r="E40" s="397" t="s">
        <v>155</v>
      </c>
      <c r="F40" s="398"/>
      <c r="G40" s="398"/>
      <c r="H40" s="398"/>
      <c r="I40" s="398"/>
      <c r="J40" s="398"/>
      <c r="K40" s="398"/>
      <c r="L40" s="398"/>
      <c r="M40" s="398"/>
      <c r="N40" s="398"/>
      <c r="O40" s="399"/>
    </row>
    <row r="41" spans="1:17" ht="18" customHeight="1" x14ac:dyDescent="0.2">
      <c r="E41" s="277" t="s">
        <v>225</v>
      </c>
      <c r="F41" s="400" t="s">
        <v>390</v>
      </c>
      <c r="G41" s="400"/>
      <c r="H41" s="400"/>
      <c r="I41" s="400"/>
      <c r="J41" s="400"/>
      <c r="K41" s="400"/>
      <c r="L41" s="400"/>
      <c r="M41" s="400"/>
      <c r="N41" s="400"/>
      <c r="O41" s="401"/>
    </row>
    <row r="42" spans="1:17" ht="18" customHeight="1" x14ac:dyDescent="0.2">
      <c r="E42" s="275" t="s">
        <v>226</v>
      </c>
      <c r="F42" s="388" t="s">
        <v>443</v>
      </c>
      <c r="G42" s="388"/>
      <c r="H42" s="388"/>
      <c r="I42" s="388"/>
      <c r="J42" s="388"/>
      <c r="K42" s="388"/>
      <c r="L42" s="388"/>
      <c r="M42" s="388"/>
      <c r="N42" s="388"/>
      <c r="O42" s="389"/>
    </row>
    <row r="43" spans="1:17" ht="18" customHeight="1" x14ac:dyDescent="0.2">
      <c r="E43" s="275" t="s">
        <v>227</v>
      </c>
      <c r="F43" s="388" t="s">
        <v>501</v>
      </c>
      <c r="G43" s="388"/>
      <c r="H43" s="388"/>
      <c r="I43" s="388"/>
      <c r="J43" s="388"/>
      <c r="K43" s="388"/>
      <c r="L43" s="388"/>
      <c r="M43" s="388"/>
      <c r="N43" s="388"/>
      <c r="O43" s="389"/>
    </row>
    <row r="44" spans="1:17" ht="18" customHeight="1" thickBot="1" x14ac:dyDescent="0.25">
      <c r="E44" s="276" t="s">
        <v>228</v>
      </c>
      <c r="F44" s="402" t="s">
        <v>475</v>
      </c>
      <c r="G44" s="402"/>
      <c r="H44" s="402"/>
      <c r="I44" s="402"/>
      <c r="J44" s="402"/>
      <c r="K44" s="402"/>
      <c r="L44" s="402"/>
      <c r="M44" s="402"/>
      <c r="N44" s="402"/>
      <c r="O44" s="403"/>
    </row>
  </sheetData>
  <sheetProtection algorithmName="SHA-512" hashValue="nj5iKhlrE92zBssHkEjzc/+zkj9kU/WNIUMGCIXeiXVeD619xA115SqGyPsTSOfuBTa37PutcLErpZLyIm0O8w==" saltValue="OBPjV9jfNX7yLGXbeRjTYA==" spinCount="100000" sheet="1" autoFilter="0"/>
  <autoFilter ref="A21:Q27" xr:uid="{00000000-0009-0000-0000-00000E000000}"/>
  <mergeCells count="12">
    <mergeCell ref="F43:O43"/>
    <mergeCell ref="F44:O44"/>
    <mergeCell ref="F42:O42"/>
    <mergeCell ref="E18:G18"/>
    <mergeCell ref="L18:O18"/>
    <mergeCell ref="I20:K20"/>
    <mergeCell ref="I32:K32"/>
    <mergeCell ref="E40:O40"/>
    <mergeCell ref="F41:O41"/>
    <mergeCell ref="E24:G24"/>
    <mergeCell ref="L24:M24"/>
    <mergeCell ref="L35:M35"/>
  </mergeCells>
  <conditionalFormatting sqref="I23:K27">
    <cfRule type="cellIs" dxfId="12" priority="1" stopIfTrue="1" operator="equal">
      <formula>0</formula>
    </cfRule>
  </conditionalFormatting>
  <conditionalFormatting sqref="O7:O16 I35:K35">
    <cfRule type="cellIs" dxfId="11" priority="9" stopIfTrue="1" operator="equal">
      <formula>0</formula>
    </cfRule>
  </conditionalFormatting>
  <hyperlinks>
    <hyperlink ref="E18:G18" location="Angebotsübersicht!A1" display="Zur Angebotsübersicht" xr:uid="{00000000-0004-0000-0E00-000000000000}"/>
    <hyperlink ref="L18:O18" location="Leistungswerte!A1" display="Zu den Leistungswerten" xr:uid="{00000000-0004-0000-0E00-000001000000}"/>
  </hyperlinks>
  <printOptions horizontalCentered="1"/>
  <pageMargins left="0.55118110236220474" right="0.35433070866141736" top="0.31496062992125984" bottom="0.51181102362204722" header="0.19685039370078741" footer="0.31496062992125984"/>
  <pageSetup paperSize="9" scale="67" fitToHeight="0" orientation="landscape" r:id="rId1"/>
  <headerFooter alignWithMargins="0">
    <oddFooter>&amp;L&amp;8Ausschreibung Unterhaltsreinigung
&amp;A&amp;R&amp;8© Lean Consulting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0.59999389629810485"/>
    <pageSetUpPr fitToPage="1"/>
  </sheetPr>
  <dimension ref="A1:W49"/>
  <sheetViews>
    <sheetView zoomScale="90" zoomScaleNormal="90" workbookViewId="0"/>
  </sheetViews>
  <sheetFormatPr baseColWidth="10" defaultColWidth="11.42578125" defaultRowHeight="12.75" x14ac:dyDescent="0.2"/>
  <cols>
    <col min="1" max="1" width="5.140625" style="1" customWidth="1"/>
    <col min="2" max="2" width="6.5703125" style="1" customWidth="1"/>
    <col min="3" max="3" width="10.85546875" style="1" customWidth="1"/>
    <col min="4" max="4" width="7.140625" style="1" customWidth="1"/>
    <col min="5" max="5" width="38.7109375" style="1" customWidth="1"/>
    <col min="6" max="6" width="17.42578125" style="1" customWidth="1"/>
    <col min="7" max="7" width="16.5703125" style="27" bestFit="1" customWidth="1"/>
    <col min="8" max="8" width="7.140625" style="28" customWidth="1"/>
    <col min="9" max="11" width="6.85546875" style="29" customWidth="1"/>
    <col min="12" max="12" width="17.140625" style="27" customWidth="1"/>
    <col min="13" max="13" width="12.85546875" style="30" customWidth="1"/>
    <col min="14" max="14" width="11.42578125" style="1"/>
    <col min="15" max="15" width="18.5703125" style="31" customWidth="1"/>
    <col min="16" max="16" width="11.42578125" style="32"/>
    <col min="17" max="17" width="14.28515625" style="32" customWidth="1"/>
    <col min="18" max="16384" width="11.42578125" style="1"/>
  </cols>
  <sheetData>
    <row r="1" spans="5:17" ht="13.5" thickBot="1" x14ac:dyDescent="0.25"/>
    <row r="2" spans="5:17" s="39" customFormat="1" ht="25.5" customHeight="1" thickBot="1" x14ac:dyDescent="0.25">
      <c r="E2" s="33"/>
      <c r="F2" s="34"/>
      <c r="G2" s="35" t="str">
        <f>IF(Bieter&lt;&gt;"",Bieter,"Bietername fehlt !")</f>
        <v>Bietername fehlt !</v>
      </c>
      <c r="H2" s="164"/>
      <c r="I2" s="36"/>
      <c r="J2" s="36"/>
      <c r="K2" s="36"/>
      <c r="L2" s="33"/>
      <c r="M2" s="34"/>
      <c r="N2" s="37"/>
      <c r="O2" s="35" t="s">
        <v>261</v>
      </c>
      <c r="P2" s="152">
        <v>6</v>
      </c>
      <c r="Q2" s="38"/>
    </row>
    <row r="3" spans="5:17" ht="13.5" thickBot="1" x14ac:dyDescent="0.25"/>
    <row r="4" spans="5:17" s="42" customFormat="1" ht="25.5" customHeight="1" thickBot="1" x14ac:dyDescent="0.25">
      <c r="E4" s="116" t="s">
        <v>55</v>
      </c>
      <c r="F4" s="118"/>
      <c r="G4" s="119"/>
      <c r="H4" s="41"/>
      <c r="K4" s="43"/>
      <c r="L4" s="117" t="s">
        <v>56</v>
      </c>
      <c r="M4" s="138"/>
      <c r="N4" s="138"/>
      <c r="O4" s="139"/>
      <c r="P4" s="44"/>
      <c r="Q4" s="44"/>
    </row>
    <row r="5" spans="5:17" s="42" customFormat="1" ht="18.75" customHeight="1" x14ac:dyDescent="0.2">
      <c r="E5" s="120" t="s">
        <v>45</v>
      </c>
      <c r="F5" s="121"/>
      <c r="G5" s="122">
        <v>12</v>
      </c>
      <c r="H5" s="41"/>
      <c r="I5" s="45"/>
      <c r="L5" s="120" t="s">
        <v>60</v>
      </c>
      <c r="M5" s="121"/>
      <c r="N5" s="140"/>
      <c r="O5" s="141" t="s">
        <v>69</v>
      </c>
      <c r="P5" s="44"/>
      <c r="Q5" s="44"/>
    </row>
    <row r="6" spans="5:17" s="42" customFormat="1" ht="18.75" customHeight="1" x14ac:dyDescent="0.2">
      <c r="E6" s="120" t="s">
        <v>495</v>
      </c>
      <c r="F6" s="121"/>
      <c r="G6" s="122">
        <v>1</v>
      </c>
      <c r="H6" s="41"/>
      <c r="I6" s="45"/>
      <c r="L6" s="120"/>
      <c r="M6" s="121"/>
      <c r="N6" s="140"/>
      <c r="O6" s="142"/>
      <c r="P6" s="44"/>
      <c r="Q6" s="44"/>
    </row>
    <row r="7" spans="5:17" s="42" customFormat="1" ht="18.75" customHeight="1" x14ac:dyDescent="0.2">
      <c r="E7" s="120" t="s">
        <v>44</v>
      </c>
      <c r="F7" s="121"/>
      <c r="G7" s="123">
        <f>SUM($G$23:$G$33)</f>
        <v>176.68000000000004</v>
      </c>
      <c r="H7" s="41"/>
      <c r="I7" s="45"/>
      <c r="J7" s="45"/>
      <c r="L7" s="120" t="s">
        <v>44</v>
      </c>
      <c r="M7" s="121"/>
      <c r="N7" s="121"/>
      <c r="O7" s="143">
        <f>IF($O$5="JA",$G$42,0)</f>
        <v>176.68000000000004</v>
      </c>
      <c r="P7" s="44"/>
      <c r="Q7" s="44"/>
    </row>
    <row r="8" spans="5:17" s="42" customFormat="1" ht="18.75" customHeight="1" x14ac:dyDescent="0.2">
      <c r="E8" s="120" t="s">
        <v>48</v>
      </c>
      <c r="F8" s="121"/>
      <c r="G8" s="123">
        <f>G7*G5</f>
        <v>2120.1600000000003</v>
      </c>
      <c r="H8" s="41"/>
      <c r="I8" s="45"/>
      <c r="J8" s="45"/>
      <c r="L8" s="120" t="s">
        <v>48</v>
      </c>
      <c r="M8" s="121"/>
      <c r="N8" s="121"/>
      <c r="O8" s="143">
        <f>IF($O$5="JA",$L$42,0)</f>
        <v>0</v>
      </c>
      <c r="P8" s="44"/>
      <c r="Q8" s="44"/>
    </row>
    <row r="9" spans="5:17" s="42" customFormat="1" ht="18.75" customHeight="1" x14ac:dyDescent="0.2">
      <c r="E9" s="120" t="s">
        <v>49</v>
      </c>
      <c r="F9" s="121"/>
      <c r="G9" s="124">
        <f ca="1">SUM($O$23:$O$33)</f>
        <v>0</v>
      </c>
      <c r="H9" s="41"/>
      <c r="I9" s="45"/>
      <c r="J9" s="45"/>
      <c r="L9" s="120" t="s">
        <v>49</v>
      </c>
      <c r="M9" s="121"/>
      <c r="N9" s="121"/>
      <c r="O9" s="124">
        <f ca="1">IF($O$5="JA",$O$42,0)</f>
        <v>0</v>
      </c>
      <c r="P9" s="44"/>
      <c r="Q9" s="44"/>
    </row>
    <row r="10" spans="5:17" s="42" customFormat="1" ht="18.75" customHeight="1" x14ac:dyDescent="0.2">
      <c r="E10" s="120" t="s">
        <v>51</v>
      </c>
      <c r="F10" s="121"/>
      <c r="G10" s="124">
        <f ca="1">G9/G5</f>
        <v>0</v>
      </c>
      <c r="H10" s="41"/>
      <c r="I10" s="45"/>
      <c r="J10" s="45"/>
      <c r="L10" s="120"/>
      <c r="M10" s="121"/>
      <c r="N10" s="121"/>
      <c r="O10" s="144"/>
      <c r="P10" s="44"/>
      <c r="Q10" s="44"/>
    </row>
    <row r="11" spans="5:17" s="42" customFormat="1" ht="18.75" customHeight="1" x14ac:dyDescent="0.2">
      <c r="E11" s="120"/>
      <c r="F11" s="121"/>
      <c r="G11" s="125"/>
      <c r="H11" s="41"/>
      <c r="I11" s="45"/>
      <c r="J11" s="45"/>
      <c r="L11" s="120" t="s">
        <v>50</v>
      </c>
      <c r="M11" s="121"/>
      <c r="N11" s="121"/>
      <c r="O11" s="125" t="e">
        <f ca="1">IF($O$5="JA",$O$8/$O$9,0)</f>
        <v>#DIV/0!</v>
      </c>
      <c r="P11" s="44"/>
      <c r="Q11" s="44"/>
    </row>
    <row r="12" spans="5:17" s="42" customFormat="1" ht="18.75" customHeight="1" thickBot="1" x14ac:dyDescent="0.25">
      <c r="E12" s="126" t="s">
        <v>57</v>
      </c>
      <c r="F12" s="127"/>
      <c r="G12" s="128">
        <f ca="1">IF(G9&gt;0,G14/G9,0)</f>
        <v>0</v>
      </c>
      <c r="H12" s="41"/>
      <c r="I12" s="45"/>
      <c r="J12" s="45"/>
      <c r="L12" s="126" t="s">
        <v>57</v>
      </c>
      <c r="M12" s="127"/>
      <c r="N12" s="127"/>
      <c r="O12" s="145" t="e">
        <f ca="1">IF($O$5="JA",$O$14/$O$9,0)</f>
        <v>#DIV/0!</v>
      </c>
      <c r="P12" s="44"/>
      <c r="Q12" s="44"/>
    </row>
    <row r="13" spans="5:17" s="42" customFormat="1" ht="6.75" customHeight="1" thickBot="1" x14ac:dyDescent="0.25">
      <c r="E13" s="121"/>
      <c r="F13" s="121"/>
      <c r="G13" s="129"/>
      <c r="H13" s="41"/>
      <c r="I13" s="45"/>
      <c r="J13" s="45"/>
      <c r="L13" s="121"/>
      <c r="M13" s="121"/>
      <c r="N13" s="121"/>
      <c r="O13" s="146"/>
      <c r="P13" s="44"/>
      <c r="Q13" s="44"/>
    </row>
    <row r="14" spans="5:17" s="42" customFormat="1" ht="18.75" customHeight="1" x14ac:dyDescent="0.2">
      <c r="E14" s="130" t="s">
        <v>65</v>
      </c>
      <c r="F14" s="131">
        <f ca="1">G14/G5</f>
        <v>0</v>
      </c>
      <c r="G14" s="132">
        <f ca="1">SUM(Q23:Q33)</f>
        <v>0</v>
      </c>
      <c r="H14" s="41"/>
      <c r="I14" s="45"/>
      <c r="J14" s="45"/>
      <c r="K14" s="46"/>
      <c r="L14" s="130" t="s">
        <v>52</v>
      </c>
      <c r="M14" s="147"/>
      <c r="N14" s="147"/>
      <c r="O14" s="148">
        <f ca="1">IF($O$5="JA",$Q$42,0)</f>
        <v>0</v>
      </c>
      <c r="P14" s="44"/>
      <c r="Q14" s="44"/>
    </row>
    <row r="15" spans="5:17" s="42" customFormat="1" ht="18.75" customHeight="1" x14ac:dyDescent="0.2">
      <c r="E15" s="133" t="s">
        <v>53</v>
      </c>
      <c r="F15" s="129"/>
      <c r="G15" s="134">
        <f ca="1">G14*0.19</f>
        <v>0</v>
      </c>
      <c r="H15" s="41"/>
      <c r="I15" s="45"/>
      <c r="J15" s="45"/>
      <c r="K15" s="46"/>
      <c r="L15" s="133" t="s">
        <v>53</v>
      </c>
      <c r="M15" s="121"/>
      <c r="N15" s="121"/>
      <c r="O15" s="149">
        <f ca="1">IF($O$5="JA",O14*0.19,0)</f>
        <v>0</v>
      </c>
      <c r="P15" s="44"/>
      <c r="Q15" s="44"/>
    </row>
    <row r="16" spans="5:17" s="42" customFormat="1" ht="18.75" customHeight="1" thickBot="1" x14ac:dyDescent="0.25">
      <c r="E16" s="135" t="s">
        <v>54</v>
      </c>
      <c r="F16" s="136"/>
      <c r="G16" s="137">
        <f ca="1">G14+G15</f>
        <v>0</v>
      </c>
      <c r="H16" s="41"/>
      <c r="I16" s="45"/>
      <c r="J16" s="45"/>
      <c r="K16" s="46"/>
      <c r="L16" s="135" t="s">
        <v>54</v>
      </c>
      <c r="M16" s="127"/>
      <c r="N16" s="127"/>
      <c r="O16" s="150">
        <f ca="1">IF(O14&lt;&gt;0,SUM(O14:O15),0)</f>
        <v>0</v>
      </c>
      <c r="P16" s="44"/>
      <c r="Q16" s="44"/>
    </row>
    <row r="17" spans="1:17" ht="6" customHeight="1" thickBot="1" x14ac:dyDescent="0.25">
      <c r="M17" s="1"/>
    </row>
    <row r="18" spans="1:17" ht="18" customHeight="1" thickBot="1" x14ac:dyDescent="0.25">
      <c r="A18" s="46"/>
      <c r="B18" s="46"/>
      <c r="C18" s="46"/>
      <c r="D18" s="46"/>
      <c r="E18" s="390" t="s">
        <v>63</v>
      </c>
      <c r="F18" s="391"/>
      <c r="G18" s="392"/>
      <c r="H18" s="47"/>
      <c r="I18" s="48"/>
      <c r="J18" s="48"/>
      <c r="K18" s="48"/>
      <c r="L18" s="393" t="s">
        <v>62</v>
      </c>
      <c r="M18" s="394"/>
      <c r="N18" s="394"/>
      <c r="O18" s="395"/>
      <c r="P18" s="49"/>
      <c r="Q18" s="49"/>
    </row>
    <row r="19" spans="1:17" ht="6" customHeight="1" thickBot="1" x14ac:dyDescent="0.25"/>
    <row r="20" spans="1:17" s="58" customFormat="1" x14ac:dyDescent="0.2">
      <c r="A20" s="50" t="s">
        <v>0</v>
      </c>
      <c r="B20" s="51" t="s">
        <v>40</v>
      </c>
      <c r="C20" s="51" t="s">
        <v>61</v>
      </c>
      <c r="D20" s="51" t="s">
        <v>41</v>
      </c>
      <c r="E20" s="52" t="s">
        <v>42</v>
      </c>
      <c r="F20" s="52" t="s">
        <v>24</v>
      </c>
      <c r="G20" s="53" t="s">
        <v>25</v>
      </c>
      <c r="H20" s="52" t="s">
        <v>1</v>
      </c>
      <c r="I20" s="396" t="s">
        <v>26</v>
      </c>
      <c r="J20" s="396"/>
      <c r="K20" s="396"/>
      <c r="L20" s="53" t="s">
        <v>33</v>
      </c>
      <c r="M20" s="54" t="s">
        <v>2</v>
      </c>
      <c r="N20" s="52" t="s">
        <v>15</v>
      </c>
      <c r="O20" s="55" t="s">
        <v>30</v>
      </c>
      <c r="P20" s="56" t="s">
        <v>13</v>
      </c>
      <c r="Q20" s="57" t="s">
        <v>31</v>
      </c>
    </row>
    <row r="21" spans="1:17" s="58" customFormat="1" ht="25.5" customHeight="1" thickBot="1" x14ac:dyDescent="0.25">
      <c r="A21" s="18"/>
      <c r="B21" s="19"/>
      <c r="C21" s="19"/>
      <c r="D21" s="19"/>
      <c r="E21" s="20" t="s">
        <v>43</v>
      </c>
      <c r="F21" s="20"/>
      <c r="G21" s="21" t="s">
        <v>32</v>
      </c>
      <c r="H21" s="20"/>
      <c r="I21" s="22" t="s">
        <v>27</v>
      </c>
      <c r="J21" s="22" t="s">
        <v>28</v>
      </c>
      <c r="K21" s="22" t="s">
        <v>29</v>
      </c>
      <c r="L21" s="21" t="s">
        <v>34</v>
      </c>
      <c r="M21" s="23" t="s">
        <v>35</v>
      </c>
      <c r="N21" s="20" t="s">
        <v>36</v>
      </c>
      <c r="O21" s="24" t="s">
        <v>37</v>
      </c>
      <c r="P21" s="25" t="s">
        <v>38</v>
      </c>
      <c r="Q21" s="26" t="s">
        <v>39</v>
      </c>
    </row>
    <row r="22" spans="1:17" ht="3.75" customHeight="1" x14ac:dyDescent="0.2">
      <c r="A22" s="68" t="s">
        <v>21</v>
      </c>
      <c r="B22" s="69" t="s">
        <v>21</v>
      </c>
      <c r="C22" s="69"/>
      <c r="D22" s="69" t="s">
        <v>21</v>
      </c>
      <c r="E22" s="69" t="s">
        <v>21</v>
      </c>
      <c r="F22" s="69" t="s">
        <v>21</v>
      </c>
      <c r="G22" s="70" t="s">
        <v>21</v>
      </c>
      <c r="H22" s="71" t="s">
        <v>21</v>
      </c>
      <c r="I22" s="72" t="s">
        <v>21</v>
      </c>
      <c r="J22" s="72" t="s">
        <v>21</v>
      </c>
      <c r="K22" s="72" t="s">
        <v>21</v>
      </c>
      <c r="L22" s="70" t="s">
        <v>21</v>
      </c>
      <c r="M22" s="73" t="s">
        <v>21</v>
      </c>
      <c r="N22" s="74" t="s">
        <v>21</v>
      </c>
      <c r="O22" s="75" t="s">
        <v>21</v>
      </c>
      <c r="P22" s="76" t="s">
        <v>21</v>
      </c>
      <c r="Q22" s="77" t="s">
        <v>21</v>
      </c>
    </row>
    <row r="23" spans="1:17" ht="24" customHeight="1" x14ac:dyDescent="0.2">
      <c r="A23" s="81"/>
      <c r="B23" s="82"/>
      <c r="C23" s="82"/>
      <c r="D23" s="82"/>
      <c r="E23" s="318" t="s">
        <v>492</v>
      </c>
      <c r="F23" s="82"/>
      <c r="G23" s="83"/>
      <c r="H23" s="245"/>
      <c r="I23" s="246"/>
      <c r="J23" s="246"/>
      <c r="K23" s="246"/>
      <c r="L23" s="83"/>
      <c r="M23" s="297"/>
      <c r="N23" s="84"/>
      <c r="O23" s="80"/>
      <c r="P23" s="298"/>
      <c r="Q23" s="85"/>
    </row>
    <row r="24" spans="1:17" ht="24" customHeight="1" x14ac:dyDescent="0.2">
      <c r="A24" s="81"/>
      <c r="B24" s="82"/>
      <c r="C24" s="82"/>
      <c r="D24" s="82"/>
      <c r="E24" s="412" t="s">
        <v>537</v>
      </c>
      <c r="F24" s="413"/>
      <c r="G24" s="414"/>
      <c r="H24" s="245"/>
      <c r="I24" s="246"/>
      <c r="J24" s="246">
        <v>1</v>
      </c>
      <c r="K24" s="246"/>
      <c r="L24" s="415" t="s">
        <v>491</v>
      </c>
      <c r="M24" s="416"/>
      <c r="N24" s="317">
        <v>5.2083333333333336E-2</v>
      </c>
      <c r="O24" s="80">
        <f ca="1">IF(P24&gt;0,(J24*12*N24*24),0)</f>
        <v>0</v>
      </c>
      <c r="P24" s="248">
        <f t="shared" ref="P24" ca="1" si="0">SVS_UR</f>
        <v>0</v>
      </c>
      <c r="Q24" s="85">
        <f t="shared" ref="Q24" ca="1" si="1">O24*P24</f>
        <v>0</v>
      </c>
    </row>
    <row r="25" spans="1:17" ht="24" customHeight="1" x14ac:dyDescent="0.2">
      <c r="A25" s="81">
        <v>1</v>
      </c>
      <c r="B25" s="82" t="s">
        <v>278</v>
      </c>
      <c r="C25" s="82"/>
      <c r="D25" s="82"/>
      <c r="E25" s="82" t="s">
        <v>410</v>
      </c>
      <c r="F25" s="82"/>
      <c r="G25" s="83">
        <v>45.16</v>
      </c>
      <c r="H25" s="245"/>
      <c r="I25" s="246"/>
      <c r="J25" s="246">
        <v>1</v>
      </c>
      <c r="K25" s="246"/>
      <c r="L25" s="83"/>
      <c r="M25" s="297"/>
      <c r="N25" s="84"/>
      <c r="O25" s="80"/>
      <c r="P25" s="298"/>
      <c r="Q25" s="85"/>
    </row>
    <row r="26" spans="1:17" ht="24" customHeight="1" x14ac:dyDescent="0.2">
      <c r="A26" s="81">
        <f>A25+1</f>
        <v>2</v>
      </c>
      <c r="B26" s="82" t="s">
        <v>278</v>
      </c>
      <c r="C26" s="82"/>
      <c r="D26" s="82"/>
      <c r="E26" s="82" t="s">
        <v>268</v>
      </c>
      <c r="F26" s="82"/>
      <c r="G26" s="83"/>
      <c r="H26" s="304" t="s">
        <v>16</v>
      </c>
      <c r="I26" s="246"/>
      <c r="J26" s="246"/>
      <c r="K26" s="246"/>
      <c r="L26" s="83"/>
      <c r="M26" s="297"/>
      <c r="N26" s="84"/>
      <c r="O26" s="80"/>
      <c r="P26" s="298"/>
      <c r="Q26" s="85"/>
    </row>
    <row r="27" spans="1:17" ht="24" customHeight="1" x14ac:dyDescent="0.2">
      <c r="A27" s="81">
        <f t="shared" ref="A27:A32" si="2">A26+1</f>
        <v>3</v>
      </c>
      <c r="B27" s="82" t="s">
        <v>278</v>
      </c>
      <c r="C27" s="82"/>
      <c r="D27" s="82"/>
      <c r="E27" s="82" t="s">
        <v>411</v>
      </c>
      <c r="F27" s="82"/>
      <c r="G27" s="83">
        <v>79.37</v>
      </c>
      <c r="H27" s="245"/>
      <c r="I27" s="246"/>
      <c r="J27" s="246">
        <v>1</v>
      </c>
      <c r="K27" s="246"/>
      <c r="L27" s="83"/>
      <c r="M27" s="297"/>
      <c r="N27" s="84"/>
      <c r="O27" s="80"/>
      <c r="P27" s="298"/>
      <c r="Q27" s="85"/>
    </row>
    <row r="28" spans="1:17" ht="24" customHeight="1" x14ac:dyDescent="0.2">
      <c r="A28" s="81">
        <f t="shared" si="2"/>
        <v>4</v>
      </c>
      <c r="B28" s="82" t="s">
        <v>278</v>
      </c>
      <c r="C28" s="82"/>
      <c r="D28" s="82"/>
      <c r="E28" s="82" t="s">
        <v>270</v>
      </c>
      <c r="F28" s="82"/>
      <c r="G28" s="83">
        <v>9.3000000000000007</v>
      </c>
      <c r="H28" s="245"/>
      <c r="I28" s="246"/>
      <c r="J28" s="246">
        <v>1</v>
      </c>
      <c r="K28" s="246"/>
      <c r="L28" s="83"/>
      <c r="M28" s="297"/>
      <c r="N28" s="84"/>
      <c r="O28" s="80"/>
      <c r="P28" s="298"/>
      <c r="Q28" s="85"/>
    </row>
    <row r="29" spans="1:17" ht="24" customHeight="1" x14ac:dyDescent="0.2">
      <c r="A29" s="81">
        <f t="shared" si="2"/>
        <v>5</v>
      </c>
      <c r="B29" s="82" t="s">
        <v>276</v>
      </c>
      <c r="C29" s="82"/>
      <c r="D29" s="82"/>
      <c r="E29" s="82" t="s">
        <v>412</v>
      </c>
      <c r="F29" s="82"/>
      <c r="G29" s="83">
        <v>20.39</v>
      </c>
      <c r="H29" s="245"/>
      <c r="I29" s="246"/>
      <c r="J29" s="246">
        <v>1</v>
      </c>
      <c r="K29" s="246"/>
      <c r="L29" s="83"/>
      <c r="M29" s="297"/>
      <c r="N29" s="84"/>
      <c r="O29" s="80"/>
      <c r="P29" s="298"/>
      <c r="Q29" s="85"/>
    </row>
    <row r="30" spans="1:17" ht="24" customHeight="1" x14ac:dyDescent="0.2">
      <c r="A30" s="81">
        <f t="shared" si="2"/>
        <v>6</v>
      </c>
      <c r="B30" s="82" t="s">
        <v>276</v>
      </c>
      <c r="C30" s="82"/>
      <c r="D30" s="82"/>
      <c r="E30" s="82" t="s">
        <v>413</v>
      </c>
      <c r="F30" s="82"/>
      <c r="G30" s="83">
        <v>6.06</v>
      </c>
      <c r="H30" s="245"/>
      <c r="I30" s="246"/>
      <c r="J30" s="246">
        <v>1</v>
      </c>
      <c r="K30" s="246"/>
      <c r="L30" s="83"/>
      <c r="M30" s="297"/>
      <c r="N30" s="84"/>
      <c r="O30" s="80"/>
      <c r="P30" s="298"/>
      <c r="Q30" s="85"/>
    </row>
    <row r="31" spans="1:17" ht="24" customHeight="1" x14ac:dyDescent="0.2">
      <c r="A31" s="81">
        <f t="shared" si="2"/>
        <v>7</v>
      </c>
      <c r="B31" s="82" t="s">
        <v>276</v>
      </c>
      <c r="C31" s="82"/>
      <c r="D31" s="82"/>
      <c r="E31" s="82" t="s">
        <v>414</v>
      </c>
      <c r="F31" s="82"/>
      <c r="G31" s="83">
        <v>8.02</v>
      </c>
      <c r="H31" s="245" t="s">
        <v>16</v>
      </c>
      <c r="I31" s="246"/>
      <c r="J31" s="246"/>
      <c r="K31" s="246"/>
      <c r="L31" s="83"/>
      <c r="M31" s="297"/>
      <c r="N31" s="84"/>
      <c r="O31" s="80"/>
      <c r="P31" s="298"/>
      <c r="Q31" s="85"/>
    </row>
    <row r="32" spans="1:17" ht="24" customHeight="1" x14ac:dyDescent="0.2">
      <c r="A32" s="81">
        <f t="shared" si="2"/>
        <v>8</v>
      </c>
      <c r="B32" s="82" t="s">
        <v>276</v>
      </c>
      <c r="C32" s="82"/>
      <c r="D32" s="82"/>
      <c r="E32" s="82" t="s">
        <v>415</v>
      </c>
      <c r="F32" s="82"/>
      <c r="G32" s="83">
        <v>8.3800000000000008</v>
      </c>
      <c r="H32" s="245" t="s">
        <v>16</v>
      </c>
      <c r="I32" s="246"/>
      <c r="J32" s="246"/>
      <c r="K32" s="246"/>
      <c r="L32" s="83"/>
      <c r="M32" s="297"/>
      <c r="N32" s="84"/>
      <c r="O32" s="80"/>
      <c r="P32" s="298"/>
      <c r="Q32" s="85"/>
    </row>
    <row r="33" spans="1:23" ht="3.75" customHeight="1" thickBot="1" x14ac:dyDescent="0.25">
      <c r="A33" s="86"/>
      <c r="B33" s="87"/>
      <c r="C33" s="87"/>
      <c r="D33" s="87"/>
      <c r="E33" s="87"/>
      <c r="F33" s="87"/>
      <c r="G33" s="88"/>
      <c r="H33" s="89"/>
      <c r="I33" s="90"/>
      <c r="J33" s="90"/>
      <c r="K33" s="90"/>
      <c r="L33" s="88"/>
      <c r="M33" s="91"/>
      <c r="N33" s="87"/>
      <c r="O33" s="92"/>
      <c r="P33" s="93"/>
      <c r="Q33" s="94"/>
    </row>
    <row r="34" spans="1:23" s="46" customFormat="1" ht="25.5" customHeight="1" thickBot="1" x14ac:dyDescent="0.25">
      <c r="A34" s="40" t="s">
        <v>47</v>
      </c>
      <c r="B34" s="95"/>
      <c r="C34" s="95"/>
      <c r="D34" s="95"/>
      <c r="E34" s="95"/>
      <c r="F34" s="96"/>
      <c r="G34" s="97">
        <f>SUBTOTAL(9,G23:G33)</f>
        <v>176.68000000000004</v>
      </c>
      <c r="H34" s="98"/>
      <c r="I34" s="99"/>
      <c r="J34" s="99"/>
      <c r="K34" s="99"/>
      <c r="L34" s="97"/>
      <c r="M34" s="100"/>
      <c r="N34" s="95"/>
      <c r="O34" s="101">
        <f ca="1">SUBTOTAL(9,O23:O33)</f>
        <v>0</v>
      </c>
      <c r="P34" s="102"/>
      <c r="Q34" s="220">
        <f ca="1">SUBTOTAL(9,Q23:Q33)</f>
        <v>0</v>
      </c>
      <c r="R34" s="1"/>
      <c r="S34" s="1"/>
      <c r="T34" s="1"/>
      <c r="U34" s="1"/>
      <c r="V34" s="1"/>
      <c r="W34" s="1"/>
    </row>
    <row r="36" spans="1:23" ht="13.5" thickBot="1" x14ac:dyDescent="0.25"/>
    <row r="37" spans="1:23" s="58" customFormat="1" x14ac:dyDescent="0.2">
      <c r="A37" s="50" t="s">
        <v>0</v>
      </c>
      <c r="B37" s="51" t="s">
        <v>40</v>
      </c>
      <c r="C37" s="51"/>
      <c r="D37" s="51" t="s">
        <v>41</v>
      </c>
      <c r="E37" s="52" t="s">
        <v>42</v>
      </c>
      <c r="F37" s="52" t="s">
        <v>24</v>
      </c>
      <c r="G37" s="53" t="s">
        <v>25</v>
      </c>
      <c r="H37" s="52" t="s">
        <v>1</v>
      </c>
      <c r="I37" s="396" t="s">
        <v>26</v>
      </c>
      <c r="J37" s="396"/>
      <c r="K37" s="396"/>
      <c r="L37" s="53" t="s">
        <v>33</v>
      </c>
      <c r="M37" s="54" t="s">
        <v>2</v>
      </c>
      <c r="N37" s="52" t="s">
        <v>15</v>
      </c>
      <c r="O37" s="55" t="s">
        <v>30</v>
      </c>
      <c r="P37" s="56" t="s">
        <v>13</v>
      </c>
      <c r="Q37" s="57" t="s">
        <v>31</v>
      </c>
      <c r="R37" s="1"/>
      <c r="S37" s="1"/>
      <c r="T37" s="1"/>
      <c r="U37" s="1"/>
      <c r="V37" s="1"/>
      <c r="W37" s="1"/>
    </row>
    <row r="38" spans="1:23" s="58" customFormat="1" ht="25.5" customHeight="1" thickBot="1" x14ac:dyDescent="0.25">
      <c r="A38" s="59"/>
      <c r="B38" s="60"/>
      <c r="C38" s="60"/>
      <c r="D38" s="60"/>
      <c r="E38" s="61" t="s">
        <v>43</v>
      </c>
      <c r="F38" s="61"/>
      <c r="G38" s="62" t="s">
        <v>32</v>
      </c>
      <c r="H38" s="61"/>
      <c r="I38" s="63" t="s">
        <v>27</v>
      </c>
      <c r="J38" s="63" t="s">
        <v>28</v>
      </c>
      <c r="K38" s="63" t="s">
        <v>29</v>
      </c>
      <c r="L38" s="62" t="s">
        <v>34</v>
      </c>
      <c r="M38" s="64" t="s">
        <v>35</v>
      </c>
      <c r="N38" s="61" t="s">
        <v>36</v>
      </c>
      <c r="O38" s="65" t="s">
        <v>37</v>
      </c>
      <c r="P38" s="66" t="s">
        <v>38</v>
      </c>
      <c r="Q38" s="67" t="s">
        <v>39</v>
      </c>
    </row>
    <row r="39" spans="1:23" ht="3.75" customHeight="1" x14ac:dyDescent="0.2">
      <c r="A39" s="68" t="s">
        <v>21</v>
      </c>
      <c r="B39" s="69" t="s">
        <v>21</v>
      </c>
      <c r="C39" s="69"/>
      <c r="D39" s="69" t="s">
        <v>21</v>
      </c>
      <c r="E39" s="69" t="s">
        <v>21</v>
      </c>
      <c r="F39" s="69" t="s">
        <v>21</v>
      </c>
      <c r="G39" s="70" t="s">
        <v>21</v>
      </c>
      <c r="H39" s="71" t="s">
        <v>21</v>
      </c>
      <c r="I39" s="72" t="s">
        <v>21</v>
      </c>
      <c r="J39" s="72" t="s">
        <v>21</v>
      </c>
      <c r="K39" s="72" t="s">
        <v>21</v>
      </c>
      <c r="L39" s="70" t="s">
        <v>21</v>
      </c>
      <c r="M39" s="73" t="s">
        <v>21</v>
      </c>
      <c r="N39" s="74" t="s">
        <v>21</v>
      </c>
      <c r="O39" s="75" t="s">
        <v>21</v>
      </c>
      <c r="P39" s="76" t="s">
        <v>21</v>
      </c>
      <c r="Q39" s="77" t="s">
        <v>21</v>
      </c>
    </row>
    <row r="40" spans="1:23" ht="24" customHeight="1" x14ac:dyDescent="0.2">
      <c r="A40" s="81">
        <f>A32+1</f>
        <v>9</v>
      </c>
      <c r="B40" s="82"/>
      <c r="C40" s="82"/>
      <c r="D40" s="82"/>
      <c r="E40" s="303" t="s">
        <v>598</v>
      </c>
      <c r="F40" s="82"/>
      <c r="G40" s="83">
        <f>IF($O$5="JA",SUM(G23:G33),0)</f>
        <v>176.68000000000004</v>
      </c>
      <c r="H40" s="78" t="s">
        <v>398</v>
      </c>
      <c r="I40" s="79">
        <f>VLOOKUP($H40,Leistungswerte!$A$8:$E$54,3,FALSE)</f>
        <v>0</v>
      </c>
      <c r="J40" s="79">
        <f>VLOOKUP($H40,Leistungswerte!$A$8:$E$54,4,FALSE)</f>
        <v>0</v>
      </c>
      <c r="K40" s="79">
        <f>VLOOKUP($H40,Leistungswerte!$A$8:$E$54,5,FALSE)</f>
        <v>1</v>
      </c>
      <c r="L40" s="415" t="s">
        <v>503</v>
      </c>
      <c r="M40" s="416"/>
      <c r="N40" s="317">
        <f>N24*2</f>
        <v>0.10416666666666667</v>
      </c>
      <c r="O40" s="80">
        <f ca="1">IF(P40&gt;0,K40*N40*24,0)</f>
        <v>0</v>
      </c>
      <c r="P40" s="162">
        <f ca="1">SVS_GR</f>
        <v>0</v>
      </c>
      <c r="Q40" s="85">
        <f ca="1">O40*P40</f>
        <v>0</v>
      </c>
    </row>
    <row r="41" spans="1:23" ht="3.75" customHeight="1" thickBot="1" x14ac:dyDescent="0.25">
      <c r="A41" s="103"/>
      <c r="B41" s="104"/>
      <c r="C41" s="104"/>
      <c r="D41" s="104"/>
      <c r="E41" s="104"/>
      <c r="F41" s="104"/>
      <c r="G41" s="105"/>
      <c r="H41" s="106"/>
      <c r="I41" s="107"/>
      <c r="J41" s="107"/>
      <c r="K41" s="107"/>
      <c r="L41" s="105"/>
      <c r="M41" s="108"/>
      <c r="N41" s="104"/>
      <c r="O41" s="109"/>
      <c r="P41" s="110"/>
      <c r="Q41" s="111"/>
    </row>
    <row r="42" spans="1:23" s="46" customFormat="1" ht="25.5" customHeight="1" thickBot="1" x14ac:dyDescent="0.25">
      <c r="A42" s="40" t="s">
        <v>58</v>
      </c>
      <c r="B42" s="95"/>
      <c r="C42" s="95"/>
      <c r="D42" s="95"/>
      <c r="E42" s="95"/>
      <c r="F42" s="96"/>
      <c r="G42" s="97">
        <f>SUM(G40:G41)</f>
        <v>176.68000000000004</v>
      </c>
      <c r="H42" s="98"/>
      <c r="I42" s="99"/>
      <c r="J42" s="99"/>
      <c r="K42" s="99"/>
      <c r="L42" s="97"/>
      <c r="M42" s="100"/>
      <c r="N42" s="95"/>
      <c r="O42" s="101">
        <f ca="1">SUM(O40:O41)</f>
        <v>0</v>
      </c>
      <c r="P42" s="102"/>
      <c r="Q42" s="220">
        <f ca="1">SUM(Q40:Q41)</f>
        <v>0</v>
      </c>
    </row>
    <row r="44" spans="1:23" ht="13.5" thickBot="1" x14ac:dyDescent="0.25"/>
    <row r="45" spans="1:23" ht="18" customHeight="1" thickBot="1" x14ac:dyDescent="0.25">
      <c r="E45" s="397" t="s">
        <v>155</v>
      </c>
      <c r="F45" s="398"/>
      <c r="G45" s="398"/>
      <c r="H45" s="398"/>
      <c r="I45" s="398"/>
      <c r="J45" s="398"/>
      <c r="K45" s="398"/>
      <c r="L45" s="398"/>
      <c r="M45" s="398"/>
      <c r="N45" s="398"/>
      <c r="O45" s="399"/>
    </row>
    <row r="46" spans="1:23" ht="18" customHeight="1" x14ac:dyDescent="0.2">
      <c r="E46" s="277" t="s">
        <v>225</v>
      </c>
      <c r="F46" s="400" t="s">
        <v>391</v>
      </c>
      <c r="G46" s="400"/>
      <c r="H46" s="400"/>
      <c r="I46" s="400"/>
      <c r="J46" s="400"/>
      <c r="K46" s="400"/>
      <c r="L46" s="400"/>
      <c r="M46" s="400"/>
      <c r="N46" s="400"/>
      <c r="O46" s="401"/>
    </row>
    <row r="47" spans="1:23" ht="18" customHeight="1" x14ac:dyDescent="0.2">
      <c r="E47" s="275" t="s">
        <v>226</v>
      </c>
      <c r="F47" s="388" t="s">
        <v>443</v>
      </c>
      <c r="G47" s="388"/>
      <c r="H47" s="388"/>
      <c r="I47" s="388"/>
      <c r="J47" s="388"/>
      <c r="K47" s="388"/>
      <c r="L47" s="388"/>
      <c r="M47" s="388"/>
      <c r="N47" s="388"/>
      <c r="O47" s="389"/>
    </row>
    <row r="48" spans="1:23" ht="18" customHeight="1" x14ac:dyDescent="0.2">
      <c r="E48" s="275" t="s">
        <v>227</v>
      </c>
      <c r="F48" s="388" t="s">
        <v>501</v>
      </c>
      <c r="G48" s="388"/>
      <c r="H48" s="388"/>
      <c r="I48" s="388"/>
      <c r="J48" s="388"/>
      <c r="K48" s="388"/>
      <c r="L48" s="388"/>
      <c r="M48" s="388"/>
      <c r="N48" s="388"/>
      <c r="O48" s="389"/>
    </row>
    <row r="49" spans="5:15" ht="18" customHeight="1" thickBot="1" x14ac:dyDescent="0.25">
      <c r="E49" s="276" t="s">
        <v>228</v>
      </c>
      <c r="F49" s="402" t="s">
        <v>475</v>
      </c>
      <c r="G49" s="402"/>
      <c r="H49" s="402"/>
      <c r="I49" s="402"/>
      <c r="J49" s="402"/>
      <c r="K49" s="402"/>
      <c r="L49" s="402"/>
      <c r="M49" s="402"/>
      <c r="N49" s="402"/>
      <c r="O49" s="403"/>
    </row>
  </sheetData>
  <sheetProtection algorithmName="SHA-512" hashValue="2sbPMFjFv4AusRYbLPYyCwYppr6JVfBb/RvroNu6Bi/g72eSjkE6VY4dNXELyAKRNlnLGy+JKu9tpBGGL2Hr4Q==" saltValue="VrHbGTf7cb1szwyLsJ0xjQ==" spinCount="100000" sheet="1" autoFilter="0"/>
  <autoFilter ref="A21:Q32" xr:uid="{00000000-0009-0000-0000-00000F000000}"/>
  <mergeCells count="12">
    <mergeCell ref="F48:O48"/>
    <mergeCell ref="F49:O49"/>
    <mergeCell ref="F47:O47"/>
    <mergeCell ref="E18:G18"/>
    <mergeCell ref="L18:O18"/>
    <mergeCell ref="I20:K20"/>
    <mergeCell ref="I37:K37"/>
    <mergeCell ref="E45:O45"/>
    <mergeCell ref="F46:O46"/>
    <mergeCell ref="E24:G24"/>
    <mergeCell ref="L24:M24"/>
    <mergeCell ref="L40:M40"/>
  </mergeCells>
  <conditionalFormatting sqref="I23:K32">
    <cfRule type="cellIs" dxfId="10" priority="1" stopIfTrue="1" operator="equal">
      <formula>0</formula>
    </cfRule>
  </conditionalFormatting>
  <conditionalFormatting sqref="O7:O16 I40:K40">
    <cfRule type="cellIs" dxfId="9" priority="10" stopIfTrue="1" operator="equal">
      <formula>0</formula>
    </cfRule>
  </conditionalFormatting>
  <hyperlinks>
    <hyperlink ref="E18:G18" location="Angebotsübersicht!A1" display="Zur Angebotsübersicht" xr:uid="{00000000-0004-0000-0F00-000000000000}"/>
    <hyperlink ref="L18:O18" location="Leistungswerte!A1" display="Zu den Leistungswerten" xr:uid="{00000000-0004-0000-0F00-000001000000}"/>
  </hyperlinks>
  <printOptions horizontalCentered="1"/>
  <pageMargins left="0.55118110236220474" right="0.35433070866141736" top="0.31496062992125984" bottom="0.51181102362204722" header="0.19685039370078741" footer="0.31496062992125984"/>
  <pageSetup paperSize="9" scale="67" fitToHeight="0" orientation="landscape" r:id="rId1"/>
  <headerFooter alignWithMargins="0">
    <oddFooter>&amp;L&amp;8Ausschreibung Unterhaltsreinigung
&amp;A&amp;R&amp;8© Lean Consulting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6" tint="0.59999389629810485"/>
    <pageSetUpPr fitToPage="1"/>
  </sheetPr>
  <dimension ref="A1:Q43"/>
  <sheetViews>
    <sheetView zoomScale="90" zoomScaleNormal="90" workbookViewId="0"/>
  </sheetViews>
  <sheetFormatPr baseColWidth="10" defaultColWidth="11.42578125" defaultRowHeight="12.75" x14ac:dyDescent="0.2"/>
  <cols>
    <col min="1" max="1" width="5.140625" style="1" customWidth="1"/>
    <col min="2" max="2" width="6.5703125" style="1" customWidth="1"/>
    <col min="3" max="3" width="10.85546875" style="1" customWidth="1"/>
    <col min="4" max="4" width="7.140625" style="1" customWidth="1"/>
    <col min="5" max="5" width="38.7109375" style="1" customWidth="1"/>
    <col min="6" max="6" width="17.42578125" style="1" customWidth="1"/>
    <col min="7" max="7" width="16.5703125" style="27" bestFit="1" customWidth="1"/>
    <col min="8" max="8" width="7.140625" style="28" customWidth="1"/>
    <col min="9" max="11" width="6.85546875" style="29" customWidth="1"/>
    <col min="12" max="12" width="17.140625" style="27" customWidth="1"/>
    <col min="13" max="13" width="12.85546875" style="30" customWidth="1"/>
    <col min="14" max="14" width="11.42578125" style="1"/>
    <col min="15" max="15" width="18.5703125" style="31" customWidth="1"/>
    <col min="16" max="16" width="11.42578125" style="32"/>
    <col min="17" max="17" width="14.28515625" style="32" customWidth="1"/>
    <col min="18" max="16384" width="11.42578125" style="1"/>
  </cols>
  <sheetData>
    <row r="1" spans="5:17" ht="13.5" thickBot="1" x14ac:dyDescent="0.25"/>
    <row r="2" spans="5:17" s="39" customFormat="1" ht="25.5" customHeight="1" thickBot="1" x14ac:dyDescent="0.25">
      <c r="E2" s="33"/>
      <c r="F2" s="34"/>
      <c r="G2" s="35" t="str">
        <f>IF(Bieter&lt;&gt;"",Bieter,"Bietername fehlt !")</f>
        <v>Bietername fehlt !</v>
      </c>
      <c r="H2" s="164"/>
      <c r="I2" s="36"/>
      <c r="J2" s="36"/>
      <c r="K2" s="36"/>
      <c r="L2" s="33"/>
      <c r="M2" s="34"/>
      <c r="N2" s="37"/>
      <c r="O2" s="35" t="s">
        <v>262</v>
      </c>
      <c r="P2" s="152">
        <v>6</v>
      </c>
      <c r="Q2" s="38"/>
    </row>
    <row r="3" spans="5:17" ht="13.5" thickBot="1" x14ac:dyDescent="0.25"/>
    <row r="4" spans="5:17" s="42" customFormat="1" ht="25.5" customHeight="1" thickBot="1" x14ac:dyDescent="0.25">
      <c r="E4" s="116" t="s">
        <v>55</v>
      </c>
      <c r="F4" s="118"/>
      <c r="G4" s="119"/>
      <c r="H4" s="41"/>
      <c r="K4" s="43"/>
      <c r="L4" s="117" t="s">
        <v>56</v>
      </c>
      <c r="M4" s="138"/>
      <c r="N4" s="138"/>
      <c r="O4" s="139"/>
      <c r="P4" s="44"/>
      <c r="Q4" s="44"/>
    </row>
    <row r="5" spans="5:17" s="42" customFormat="1" ht="18.75" customHeight="1" x14ac:dyDescent="0.2">
      <c r="E5" s="120" t="s">
        <v>45</v>
      </c>
      <c r="F5" s="121"/>
      <c r="G5" s="122">
        <v>12</v>
      </c>
      <c r="H5" s="41"/>
      <c r="I5" s="45"/>
      <c r="L5" s="120" t="s">
        <v>60</v>
      </c>
      <c r="M5" s="121"/>
      <c r="N5" s="140"/>
      <c r="O5" s="141" t="s">
        <v>69</v>
      </c>
      <c r="P5" s="44"/>
      <c r="Q5" s="44"/>
    </row>
    <row r="6" spans="5:17" s="42" customFormat="1" ht="18.75" customHeight="1" x14ac:dyDescent="0.2">
      <c r="E6" s="120" t="s">
        <v>495</v>
      </c>
      <c r="F6" s="121"/>
      <c r="G6" s="122">
        <v>1</v>
      </c>
      <c r="H6" s="41"/>
      <c r="I6" s="45"/>
      <c r="L6" s="120"/>
      <c r="M6" s="121"/>
      <c r="N6" s="140"/>
      <c r="O6" s="142"/>
      <c r="P6" s="44"/>
      <c r="Q6" s="44"/>
    </row>
    <row r="7" spans="5:17" s="42" customFormat="1" ht="18.75" customHeight="1" x14ac:dyDescent="0.2">
      <c r="E7" s="120" t="s">
        <v>44</v>
      </c>
      <c r="F7" s="121"/>
      <c r="G7" s="123">
        <f>SUM($G$23:$G$27)</f>
        <v>0</v>
      </c>
      <c r="H7" s="41"/>
      <c r="I7" s="45"/>
      <c r="J7" s="45"/>
      <c r="L7" s="120" t="s">
        <v>44</v>
      </c>
      <c r="M7" s="121"/>
      <c r="N7" s="121"/>
      <c r="O7" s="143">
        <f>IF($O$5="JA",$G$36,0)</f>
        <v>0</v>
      </c>
      <c r="P7" s="44"/>
      <c r="Q7" s="44"/>
    </row>
    <row r="8" spans="5:17" s="42" customFormat="1" ht="18.75" customHeight="1" x14ac:dyDescent="0.2">
      <c r="E8" s="120" t="s">
        <v>48</v>
      </c>
      <c r="F8" s="121"/>
      <c r="G8" s="123">
        <f>G5*G7</f>
        <v>0</v>
      </c>
      <c r="H8" s="41"/>
      <c r="I8" s="45"/>
      <c r="J8" s="45"/>
      <c r="L8" s="120" t="s">
        <v>48</v>
      </c>
      <c r="M8" s="121"/>
      <c r="N8" s="121"/>
      <c r="O8" s="143">
        <f>IF($O$5="JA",$L$36,0)</f>
        <v>0</v>
      </c>
      <c r="P8" s="44"/>
      <c r="Q8" s="44"/>
    </row>
    <row r="9" spans="5:17" s="42" customFormat="1" ht="18.75" customHeight="1" x14ac:dyDescent="0.2">
      <c r="E9" s="120" t="s">
        <v>49</v>
      </c>
      <c r="F9" s="121"/>
      <c r="G9" s="124">
        <f ca="1">SUM($O$23:$O$27)</f>
        <v>0</v>
      </c>
      <c r="H9" s="41"/>
      <c r="I9" s="45"/>
      <c r="J9" s="45"/>
      <c r="L9" s="120" t="s">
        <v>49</v>
      </c>
      <c r="M9" s="121"/>
      <c r="N9" s="121"/>
      <c r="O9" s="124">
        <f ca="1">IF($O$5="JA",$O$36,0)</f>
        <v>0</v>
      </c>
      <c r="P9" s="44"/>
      <c r="Q9" s="44"/>
    </row>
    <row r="10" spans="5:17" s="42" customFormat="1" ht="18.75" customHeight="1" x14ac:dyDescent="0.2">
      <c r="E10" s="120" t="s">
        <v>51</v>
      </c>
      <c r="F10" s="121"/>
      <c r="G10" s="124">
        <f ca="1">G9/G5</f>
        <v>0</v>
      </c>
      <c r="H10" s="41"/>
      <c r="I10" s="45"/>
      <c r="J10" s="45"/>
      <c r="L10" s="120"/>
      <c r="M10" s="121"/>
      <c r="N10" s="121"/>
      <c r="O10" s="144"/>
      <c r="P10" s="44"/>
      <c r="Q10" s="44"/>
    </row>
    <row r="11" spans="5:17" s="42" customFormat="1" ht="18.75" customHeight="1" x14ac:dyDescent="0.2">
      <c r="E11" s="120"/>
      <c r="F11" s="121"/>
      <c r="G11" s="125"/>
      <c r="H11" s="41"/>
      <c r="I11" s="45"/>
      <c r="J11" s="45"/>
      <c r="L11" s="120" t="s">
        <v>50</v>
      </c>
      <c r="M11" s="121"/>
      <c r="N11" s="121"/>
      <c r="O11" s="125" t="e">
        <f ca="1">IF($O$5="JA",$O$8/$O$9,0)</f>
        <v>#DIV/0!</v>
      </c>
      <c r="P11" s="44"/>
      <c r="Q11" s="44"/>
    </row>
    <row r="12" spans="5:17" s="42" customFormat="1" ht="18.75" customHeight="1" thickBot="1" x14ac:dyDescent="0.25">
      <c r="E12" s="126" t="s">
        <v>57</v>
      </c>
      <c r="F12" s="127"/>
      <c r="G12" s="128">
        <f ca="1">IF(G9&gt;0,G14/G9,0)</f>
        <v>0</v>
      </c>
      <c r="H12" s="41"/>
      <c r="I12" s="45"/>
      <c r="J12" s="45"/>
      <c r="L12" s="126" t="s">
        <v>57</v>
      </c>
      <c r="M12" s="127"/>
      <c r="N12" s="127"/>
      <c r="O12" s="145" t="e">
        <f ca="1">IF($O$5="JA",$O$14/$O$9,0)</f>
        <v>#DIV/0!</v>
      </c>
      <c r="P12" s="44"/>
      <c r="Q12" s="44"/>
    </row>
    <row r="13" spans="5:17" s="42" customFormat="1" ht="6.75" customHeight="1" thickBot="1" x14ac:dyDescent="0.25">
      <c r="E13" s="121"/>
      <c r="F13" s="121"/>
      <c r="G13" s="129"/>
      <c r="H13" s="41"/>
      <c r="I13" s="45"/>
      <c r="J13" s="45"/>
      <c r="L13" s="121"/>
      <c r="M13" s="121"/>
      <c r="N13" s="121"/>
      <c r="O13" s="146"/>
      <c r="P13" s="44"/>
      <c r="Q13" s="44"/>
    </row>
    <row r="14" spans="5:17" s="42" customFormat="1" ht="18.75" customHeight="1" x14ac:dyDescent="0.2">
      <c r="E14" s="130" t="s">
        <v>65</v>
      </c>
      <c r="F14" s="131">
        <f ca="1">G14/G5</f>
        <v>0</v>
      </c>
      <c r="G14" s="132">
        <f ca="1">SUM(Q23:Q27)</f>
        <v>0</v>
      </c>
      <c r="H14" s="41"/>
      <c r="I14" s="45"/>
      <c r="J14" s="45"/>
      <c r="K14" s="46"/>
      <c r="L14" s="130" t="s">
        <v>52</v>
      </c>
      <c r="M14" s="147"/>
      <c r="N14" s="147"/>
      <c r="O14" s="148">
        <f ca="1">IF($O$5="JA",$Q$36,0)</f>
        <v>0</v>
      </c>
      <c r="P14" s="44"/>
      <c r="Q14" s="44"/>
    </row>
    <row r="15" spans="5:17" s="42" customFormat="1" ht="18.75" customHeight="1" x14ac:dyDescent="0.2">
      <c r="E15" s="133" t="s">
        <v>53</v>
      </c>
      <c r="F15" s="129"/>
      <c r="G15" s="134">
        <f ca="1">G14*0.19</f>
        <v>0</v>
      </c>
      <c r="H15" s="41"/>
      <c r="I15" s="45"/>
      <c r="J15" s="45"/>
      <c r="K15" s="46"/>
      <c r="L15" s="133" t="s">
        <v>53</v>
      </c>
      <c r="M15" s="121"/>
      <c r="N15" s="121"/>
      <c r="O15" s="149">
        <f ca="1">IF($O$5="JA",O14*0.19,0)</f>
        <v>0</v>
      </c>
      <c r="P15" s="44"/>
      <c r="Q15" s="44"/>
    </row>
    <row r="16" spans="5:17" s="42" customFormat="1" ht="18.75" customHeight="1" thickBot="1" x14ac:dyDescent="0.25">
      <c r="E16" s="135" t="s">
        <v>54</v>
      </c>
      <c r="F16" s="136"/>
      <c r="G16" s="137">
        <f ca="1">G14+G15</f>
        <v>0</v>
      </c>
      <c r="H16" s="41"/>
      <c r="I16" s="45"/>
      <c r="J16" s="45"/>
      <c r="K16" s="46"/>
      <c r="L16" s="135" t="s">
        <v>54</v>
      </c>
      <c r="M16" s="127"/>
      <c r="N16" s="127"/>
      <c r="O16" s="150">
        <f ca="1">IF(O14&lt;&gt;0,SUM(O14:O15),0)</f>
        <v>0</v>
      </c>
      <c r="P16" s="44"/>
      <c r="Q16" s="44"/>
    </row>
    <row r="17" spans="1:17" ht="6" customHeight="1" thickBot="1" x14ac:dyDescent="0.25">
      <c r="M17" s="1"/>
    </row>
    <row r="18" spans="1:17" ht="18" customHeight="1" thickBot="1" x14ac:dyDescent="0.25">
      <c r="A18" s="46"/>
      <c r="B18" s="46"/>
      <c r="C18" s="46"/>
      <c r="D18" s="46"/>
      <c r="E18" s="390" t="s">
        <v>63</v>
      </c>
      <c r="F18" s="391"/>
      <c r="G18" s="392"/>
      <c r="H18" s="47"/>
      <c r="I18" s="48"/>
      <c r="J18" s="48"/>
      <c r="K18" s="48"/>
      <c r="L18" s="393" t="s">
        <v>62</v>
      </c>
      <c r="M18" s="394"/>
      <c r="N18" s="394"/>
      <c r="O18" s="395"/>
      <c r="P18" s="49"/>
      <c r="Q18" s="49"/>
    </row>
    <row r="19" spans="1:17" ht="6" customHeight="1" thickBot="1" x14ac:dyDescent="0.25"/>
    <row r="20" spans="1:17" s="58" customFormat="1" x14ac:dyDescent="0.2">
      <c r="A20" s="50" t="s">
        <v>0</v>
      </c>
      <c r="B20" s="51" t="s">
        <v>40</v>
      </c>
      <c r="C20" s="51" t="s">
        <v>61</v>
      </c>
      <c r="D20" s="51" t="s">
        <v>41</v>
      </c>
      <c r="E20" s="52" t="s">
        <v>42</v>
      </c>
      <c r="F20" s="52" t="s">
        <v>24</v>
      </c>
      <c r="G20" s="53" t="s">
        <v>25</v>
      </c>
      <c r="H20" s="52" t="s">
        <v>1</v>
      </c>
      <c r="I20" s="396" t="s">
        <v>26</v>
      </c>
      <c r="J20" s="396"/>
      <c r="K20" s="396"/>
      <c r="L20" s="53" t="s">
        <v>33</v>
      </c>
      <c r="M20" s="54" t="s">
        <v>2</v>
      </c>
      <c r="N20" s="52" t="s">
        <v>15</v>
      </c>
      <c r="O20" s="55" t="s">
        <v>30</v>
      </c>
      <c r="P20" s="56" t="s">
        <v>13</v>
      </c>
      <c r="Q20" s="57" t="s">
        <v>31</v>
      </c>
    </row>
    <row r="21" spans="1:17" s="58" customFormat="1" ht="25.5" customHeight="1" thickBot="1" x14ac:dyDescent="0.25">
      <c r="A21" s="18"/>
      <c r="B21" s="19"/>
      <c r="C21" s="19"/>
      <c r="D21" s="19"/>
      <c r="E21" s="20" t="s">
        <v>43</v>
      </c>
      <c r="F21" s="20"/>
      <c r="G21" s="21" t="s">
        <v>32</v>
      </c>
      <c r="H21" s="20"/>
      <c r="I21" s="22" t="s">
        <v>27</v>
      </c>
      <c r="J21" s="22" t="s">
        <v>28</v>
      </c>
      <c r="K21" s="22" t="s">
        <v>29</v>
      </c>
      <c r="L21" s="21" t="s">
        <v>34</v>
      </c>
      <c r="M21" s="23" t="s">
        <v>35</v>
      </c>
      <c r="N21" s="20" t="s">
        <v>36</v>
      </c>
      <c r="O21" s="24" t="s">
        <v>37</v>
      </c>
      <c r="P21" s="25" t="s">
        <v>38</v>
      </c>
      <c r="Q21" s="26" t="s">
        <v>39</v>
      </c>
    </row>
    <row r="22" spans="1:17" ht="3.75" customHeight="1" x14ac:dyDescent="0.2">
      <c r="A22" s="68" t="s">
        <v>21</v>
      </c>
      <c r="B22" s="69" t="s">
        <v>21</v>
      </c>
      <c r="C22" s="69"/>
      <c r="D22" s="69" t="s">
        <v>21</v>
      </c>
      <c r="E22" s="69" t="s">
        <v>21</v>
      </c>
      <c r="F22" s="69" t="s">
        <v>21</v>
      </c>
      <c r="G22" s="70" t="s">
        <v>21</v>
      </c>
      <c r="H22" s="71" t="s">
        <v>21</v>
      </c>
      <c r="I22" s="72" t="s">
        <v>21</v>
      </c>
      <c r="J22" s="72" t="s">
        <v>21</v>
      </c>
      <c r="K22" s="72" t="s">
        <v>21</v>
      </c>
      <c r="L22" s="70" t="s">
        <v>21</v>
      </c>
      <c r="M22" s="73" t="s">
        <v>21</v>
      </c>
      <c r="N22" s="74" t="s">
        <v>21</v>
      </c>
      <c r="O22" s="75" t="s">
        <v>21</v>
      </c>
      <c r="P22" s="76" t="s">
        <v>21</v>
      </c>
      <c r="Q22" s="77" t="s">
        <v>21</v>
      </c>
    </row>
    <row r="23" spans="1:17" ht="24" customHeight="1" x14ac:dyDescent="0.2">
      <c r="A23" s="81"/>
      <c r="B23" s="82"/>
      <c r="C23" s="82"/>
      <c r="D23" s="82"/>
      <c r="E23" s="318" t="s">
        <v>492</v>
      </c>
      <c r="F23" s="82"/>
      <c r="G23" s="83"/>
      <c r="H23" s="245"/>
      <c r="I23" s="246"/>
      <c r="J23" s="246"/>
      <c r="K23" s="246"/>
      <c r="L23" s="83"/>
      <c r="M23" s="297"/>
      <c r="N23" s="84"/>
      <c r="O23" s="80"/>
      <c r="P23" s="298"/>
      <c r="Q23" s="85"/>
    </row>
    <row r="24" spans="1:17" ht="24" customHeight="1" x14ac:dyDescent="0.2">
      <c r="A24" s="81"/>
      <c r="B24" s="82"/>
      <c r="C24" s="82"/>
      <c r="D24" s="82"/>
      <c r="E24" s="412" t="s">
        <v>496</v>
      </c>
      <c r="F24" s="413"/>
      <c r="G24" s="414"/>
      <c r="H24" s="245"/>
      <c r="I24" s="246"/>
      <c r="J24" s="246">
        <v>1</v>
      </c>
      <c r="K24" s="246"/>
      <c r="L24" s="415" t="s">
        <v>491</v>
      </c>
      <c r="M24" s="416"/>
      <c r="N24" s="317">
        <v>3.125E-2</v>
      </c>
      <c r="O24" s="80">
        <f ca="1">IF(P24&gt;0,(J24*12*N24*24),0)</f>
        <v>0</v>
      </c>
      <c r="P24" s="248">
        <f t="shared" ref="P24" ca="1" si="0">SVS_UR</f>
        <v>0</v>
      </c>
      <c r="Q24" s="85">
        <f t="shared" ref="Q24" ca="1" si="1">O24*P24</f>
        <v>0</v>
      </c>
    </row>
    <row r="25" spans="1:17" ht="24" customHeight="1" x14ac:dyDescent="0.2">
      <c r="A25" s="81">
        <v>1</v>
      </c>
      <c r="B25" s="303" t="s">
        <v>276</v>
      </c>
      <c r="C25" s="82"/>
      <c r="D25" s="82"/>
      <c r="E25" s="82" t="s">
        <v>408</v>
      </c>
      <c r="F25" s="82"/>
      <c r="G25" s="325" t="s">
        <v>502</v>
      </c>
      <c r="H25" s="245"/>
      <c r="I25" s="246"/>
      <c r="J25" s="246">
        <v>1</v>
      </c>
      <c r="K25" s="246"/>
      <c r="L25" s="83"/>
      <c r="M25" s="297"/>
      <c r="N25" s="84"/>
      <c r="O25" s="80"/>
      <c r="P25" s="298"/>
      <c r="Q25" s="85"/>
    </row>
    <row r="26" spans="1:17" ht="24" customHeight="1" x14ac:dyDescent="0.2">
      <c r="A26" s="81">
        <f>A25+1</f>
        <v>2</v>
      </c>
      <c r="B26" s="303" t="s">
        <v>276</v>
      </c>
      <c r="C26" s="82"/>
      <c r="D26" s="82"/>
      <c r="E26" s="82" t="s">
        <v>409</v>
      </c>
      <c r="F26" s="82"/>
      <c r="G26" s="325" t="s">
        <v>502</v>
      </c>
      <c r="H26" s="245"/>
      <c r="I26" s="246"/>
      <c r="J26" s="246">
        <v>1</v>
      </c>
      <c r="K26" s="246"/>
      <c r="L26" s="83"/>
      <c r="M26" s="297"/>
      <c r="N26" s="84"/>
      <c r="O26" s="80"/>
      <c r="P26" s="298"/>
      <c r="Q26" s="85"/>
    </row>
    <row r="27" spans="1:17" ht="3.75" customHeight="1" thickBot="1" x14ac:dyDescent="0.25">
      <c r="A27" s="86"/>
      <c r="B27" s="87"/>
      <c r="C27" s="87"/>
      <c r="D27" s="87"/>
      <c r="E27" s="87"/>
      <c r="F27" s="87"/>
      <c r="G27" s="88"/>
      <c r="H27" s="89"/>
      <c r="I27" s="90"/>
      <c r="J27" s="90"/>
      <c r="K27" s="90"/>
      <c r="L27" s="88"/>
      <c r="M27" s="91"/>
      <c r="N27" s="87"/>
      <c r="O27" s="92"/>
      <c r="P27" s="93"/>
      <c r="Q27" s="94"/>
    </row>
    <row r="28" spans="1:17" s="46" customFormat="1" ht="25.5" customHeight="1" thickBot="1" x14ac:dyDescent="0.25">
      <c r="A28" s="40" t="s">
        <v>47</v>
      </c>
      <c r="B28" s="95"/>
      <c r="C28" s="95"/>
      <c r="D28" s="95"/>
      <c r="E28" s="95"/>
      <c r="F28" s="96"/>
      <c r="G28" s="97"/>
      <c r="H28" s="98"/>
      <c r="I28" s="99"/>
      <c r="J28" s="99"/>
      <c r="K28" s="99"/>
      <c r="L28" s="97"/>
      <c r="M28" s="100"/>
      <c r="N28" s="95"/>
      <c r="O28" s="101">
        <f ca="1">SUBTOTAL(9,O23:O27)</f>
        <v>0</v>
      </c>
      <c r="P28" s="102"/>
      <c r="Q28" s="220">
        <f ca="1">SUBTOTAL(9,Q23:Q27)</f>
        <v>0</v>
      </c>
    </row>
    <row r="30" spans="1:17" ht="13.5" thickBot="1" x14ac:dyDescent="0.25"/>
    <row r="31" spans="1:17" s="58" customFormat="1" x14ac:dyDescent="0.2">
      <c r="A31" s="50" t="s">
        <v>0</v>
      </c>
      <c r="B31" s="51" t="s">
        <v>40</v>
      </c>
      <c r="C31" s="51"/>
      <c r="D31" s="51" t="s">
        <v>41</v>
      </c>
      <c r="E31" s="52" t="s">
        <v>42</v>
      </c>
      <c r="F31" s="52" t="s">
        <v>24</v>
      </c>
      <c r="G31" s="53" t="s">
        <v>25</v>
      </c>
      <c r="H31" s="52" t="s">
        <v>1</v>
      </c>
      <c r="I31" s="396" t="s">
        <v>26</v>
      </c>
      <c r="J31" s="396"/>
      <c r="K31" s="396"/>
      <c r="L31" s="53" t="s">
        <v>33</v>
      </c>
      <c r="M31" s="54" t="s">
        <v>2</v>
      </c>
      <c r="N31" s="52" t="s">
        <v>15</v>
      </c>
      <c r="O31" s="55" t="s">
        <v>30</v>
      </c>
      <c r="P31" s="56" t="s">
        <v>13</v>
      </c>
      <c r="Q31" s="57" t="s">
        <v>31</v>
      </c>
    </row>
    <row r="32" spans="1:17" s="58" customFormat="1" ht="25.5" customHeight="1" thickBot="1" x14ac:dyDescent="0.25">
      <c r="A32" s="59"/>
      <c r="B32" s="60"/>
      <c r="C32" s="60"/>
      <c r="D32" s="60"/>
      <c r="E32" s="61" t="s">
        <v>43</v>
      </c>
      <c r="F32" s="61"/>
      <c r="G32" s="62" t="s">
        <v>32</v>
      </c>
      <c r="H32" s="61"/>
      <c r="I32" s="63" t="s">
        <v>27</v>
      </c>
      <c r="J32" s="63" t="s">
        <v>28</v>
      </c>
      <c r="K32" s="63" t="s">
        <v>29</v>
      </c>
      <c r="L32" s="62" t="s">
        <v>34</v>
      </c>
      <c r="M32" s="64" t="s">
        <v>35</v>
      </c>
      <c r="N32" s="61" t="s">
        <v>36</v>
      </c>
      <c r="O32" s="65" t="s">
        <v>37</v>
      </c>
      <c r="P32" s="66" t="s">
        <v>38</v>
      </c>
      <c r="Q32" s="67" t="s">
        <v>39</v>
      </c>
    </row>
    <row r="33" spans="1:17" ht="3.75" customHeight="1" x14ac:dyDescent="0.2">
      <c r="A33" s="68" t="s">
        <v>21</v>
      </c>
      <c r="B33" s="69" t="s">
        <v>21</v>
      </c>
      <c r="C33" s="69"/>
      <c r="D33" s="69" t="s">
        <v>21</v>
      </c>
      <c r="E33" s="69" t="s">
        <v>21</v>
      </c>
      <c r="F33" s="69" t="s">
        <v>21</v>
      </c>
      <c r="G33" s="70" t="s">
        <v>21</v>
      </c>
      <c r="H33" s="71" t="s">
        <v>21</v>
      </c>
      <c r="I33" s="72" t="s">
        <v>21</v>
      </c>
      <c r="J33" s="72" t="s">
        <v>21</v>
      </c>
      <c r="K33" s="72" t="s">
        <v>21</v>
      </c>
      <c r="L33" s="70" t="s">
        <v>21</v>
      </c>
      <c r="M33" s="73" t="s">
        <v>21</v>
      </c>
      <c r="N33" s="74" t="s">
        <v>21</v>
      </c>
      <c r="O33" s="75" t="s">
        <v>21</v>
      </c>
      <c r="P33" s="76" t="s">
        <v>21</v>
      </c>
      <c r="Q33" s="77" t="s">
        <v>21</v>
      </c>
    </row>
    <row r="34" spans="1:17" ht="24" customHeight="1" x14ac:dyDescent="0.2">
      <c r="A34" s="81">
        <f>A26+1</f>
        <v>3</v>
      </c>
      <c r="B34" s="82"/>
      <c r="C34" s="82"/>
      <c r="D34" s="82"/>
      <c r="E34" s="82" t="s">
        <v>156</v>
      </c>
      <c r="F34" s="82"/>
      <c r="G34" s="325" t="s">
        <v>502</v>
      </c>
      <c r="H34" s="78" t="s">
        <v>398</v>
      </c>
      <c r="I34" s="79">
        <f>VLOOKUP($H34,Leistungswerte!$A$8:$E$54,3,FALSE)</f>
        <v>0</v>
      </c>
      <c r="J34" s="79">
        <f>VLOOKUP($H34,Leistungswerte!$A$8:$E$54,4,FALSE)</f>
        <v>0</v>
      </c>
      <c r="K34" s="79">
        <f>VLOOKUP($H34,Leistungswerte!$A$8:$E$54,5,FALSE)</f>
        <v>1</v>
      </c>
      <c r="L34" s="415" t="s">
        <v>503</v>
      </c>
      <c r="M34" s="416"/>
      <c r="N34" s="317">
        <f>N24*2</f>
        <v>6.25E-2</v>
      </c>
      <c r="O34" s="80">
        <f ca="1">IF(P34&gt;0,K34*N34*24,0)</f>
        <v>0</v>
      </c>
      <c r="P34" s="162">
        <f ca="1">SVS_GR</f>
        <v>0</v>
      </c>
      <c r="Q34" s="85">
        <f ca="1">O34*P34</f>
        <v>0</v>
      </c>
    </row>
    <row r="35" spans="1:17" ht="3.75" customHeight="1" thickBot="1" x14ac:dyDescent="0.25">
      <c r="A35" s="103"/>
      <c r="B35" s="104"/>
      <c r="C35" s="104"/>
      <c r="D35" s="104"/>
      <c r="E35" s="104"/>
      <c r="F35" s="104"/>
      <c r="G35" s="105"/>
      <c r="H35" s="106"/>
      <c r="I35" s="107"/>
      <c r="J35" s="107"/>
      <c r="K35" s="107"/>
      <c r="L35" s="105"/>
      <c r="M35" s="108"/>
      <c r="N35" s="104"/>
      <c r="O35" s="109"/>
      <c r="P35" s="110"/>
      <c r="Q35" s="111"/>
    </row>
    <row r="36" spans="1:17" s="46" customFormat="1" ht="25.5" customHeight="1" thickBot="1" x14ac:dyDescent="0.25">
      <c r="A36" s="40" t="s">
        <v>58</v>
      </c>
      <c r="B36" s="95"/>
      <c r="C36" s="95"/>
      <c r="D36" s="95"/>
      <c r="E36" s="95"/>
      <c r="F36" s="96"/>
      <c r="G36" s="97"/>
      <c r="H36" s="98"/>
      <c r="I36" s="99"/>
      <c r="J36" s="99"/>
      <c r="K36" s="99"/>
      <c r="L36" s="97"/>
      <c r="M36" s="100"/>
      <c r="N36" s="95"/>
      <c r="O36" s="101">
        <f ca="1">SUM(O34:O35)</f>
        <v>0</v>
      </c>
      <c r="P36" s="102"/>
      <c r="Q36" s="220">
        <f ca="1">SUM(Q34:Q35)</f>
        <v>0</v>
      </c>
    </row>
    <row r="38" spans="1:17" ht="13.5" thickBot="1" x14ac:dyDescent="0.25"/>
    <row r="39" spans="1:17" ht="18" customHeight="1" thickBot="1" x14ac:dyDescent="0.25">
      <c r="E39" s="397" t="s">
        <v>155</v>
      </c>
      <c r="F39" s="398"/>
      <c r="G39" s="398"/>
      <c r="H39" s="398"/>
      <c r="I39" s="398"/>
      <c r="J39" s="398"/>
      <c r="K39" s="398"/>
      <c r="L39" s="398"/>
      <c r="M39" s="398"/>
      <c r="N39" s="398"/>
      <c r="O39" s="399"/>
    </row>
    <row r="40" spans="1:17" ht="18" customHeight="1" x14ac:dyDescent="0.2">
      <c r="E40" s="277" t="s">
        <v>225</v>
      </c>
      <c r="F40" s="400" t="s">
        <v>392</v>
      </c>
      <c r="G40" s="400"/>
      <c r="H40" s="400"/>
      <c r="I40" s="400"/>
      <c r="J40" s="400"/>
      <c r="K40" s="400"/>
      <c r="L40" s="400"/>
      <c r="M40" s="400"/>
      <c r="N40" s="400"/>
      <c r="O40" s="401"/>
    </row>
    <row r="41" spans="1:17" ht="18" customHeight="1" x14ac:dyDescent="0.2">
      <c r="E41" s="275" t="s">
        <v>226</v>
      </c>
      <c r="F41" s="388" t="s">
        <v>443</v>
      </c>
      <c r="G41" s="388"/>
      <c r="H41" s="388"/>
      <c r="I41" s="388"/>
      <c r="J41" s="388"/>
      <c r="K41" s="388"/>
      <c r="L41" s="388"/>
      <c r="M41" s="388"/>
      <c r="N41" s="388"/>
      <c r="O41" s="389"/>
    </row>
    <row r="42" spans="1:17" ht="18" customHeight="1" x14ac:dyDescent="0.2">
      <c r="E42" s="275" t="s">
        <v>227</v>
      </c>
      <c r="F42" s="388" t="s">
        <v>501</v>
      </c>
      <c r="G42" s="388"/>
      <c r="H42" s="388"/>
      <c r="I42" s="388"/>
      <c r="J42" s="388"/>
      <c r="K42" s="388"/>
      <c r="L42" s="388"/>
      <c r="M42" s="388"/>
      <c r="N42" s="388"/>
      <c r="O42" s="389"/>
    </row>
    <row r="43" spans="1:17" ht="18" customHeight="1" thickBot="1" x14ac:dyDescent="0.25">
      <c r="E43" s="276" t="s">
        <v>228</v>
      </c>
      <c r="F43" s="402" t="s">
        <v>475</v>
      </c>
      <c r="G43" s="402"/>
      <c r="H43" s="402"/>
      <c r="I43" s="402"/>
      <c r="J43" s="402"/>
      <c r="K43" s="402"/>
      <c r="L43" s="402"/>
      <c r="M43" s="402"/>
      <c r="N43" s="402"/>
      <c r="O43" s="403"/>
    </row>
  </sheetData>
  <sheetProtection algorithmName="SHA-512" hashValue="MaBBgeYhMYsweXmK+8sJkRlXpbH+28PBt0tyRI4sfDwpPiPnJdawbitrgOdw8ogot28GSB8jGH67iLIwmrDOow==" saltValue="BCxm4MOVsg6kp6fT6pS72Q==" spinCount="100000" sheet="1" autoFilter="0"/>
  <autoFilter ref="A21:Q26" xr:uid="{00000000-0009-0000-0000-000010000000}"/>
  <mergeCells count="12">
    <mergeCell ref="F42:O42"/>
    <mergeCell ref="F43:O43"/>
    <mergeCell ref="F41:O41"/>
    <mergeCell ref="E18:G18"/>
    <mergeCell ref="L18:O18"/>
    <mergeCell ref="I20:K20"/>
    <mergeCell ref="I31:K31"/>
    <mergeCell ref="E39:O39"/>
    <mergeCell ref="F40:O40"/>
    <mergeCell ref="E24:G24"/>
    <mergeCell ref="L24:M24"/>
    <mergeCell ref="L34:M34"/>
  </mergeCells>
  <conditionalFormatting sqref="I23:K26">
    <cfRule type="cellIs" dxfId="8" priority="2" stopIfTrue="1" operator="equal">
      <formula>0</formula>
    </cfRule>
  </conditionalFormatting>
  <conditionalFormatting sqref="O7:O16 I34:K34">
    <cfRule type="cellIs" dxfId="7" priority="7" stopIfTrue="1" operator="equal">
      <formula>0</formula>
    </cfRule>
  </conditionalFormatting>
  <hyperlinks>
    <hyperlink ref="E18:G18" location="Angebotsübersicht!A1" display="Zur Angebotsübersicht" xr:uid="{00000000-0004-0000-1000-000000000000}"/>
    <hyperlink ref="L18:O18" location="Leistungswerte!A1" display="Zu den Leistungswerten" xr:uid="{00000000-0004-0000-1000-000001000000}"/>
  </hyperlinks>
  <printOptions horizontalCentered="1"/>
  <pageMargins left="0.55118110236220474" right="0.35433070866141736" top="0.31496062992125984" bottom="0.51181102362204722" header="0.19685039370078741" footer="0.31496062992125984"/>
  <pageSetup paperSize="9" scale="67" fitToHeight="0" orientation="landscape" r:id="rId1"/>
  <headerFooter alignWithMargins="0">
    <oddFooter>&amp;L&amp;8Ausschreibung Unterhaltsreinigung
&amp;A&amp;R&amp;8© Lean Consulting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6" tint="0.59999389629810485"/>
    <pageSetUpPr fitToPage="1"/>
  </sheetPr>
  <dimension ref="A1:Q45"/>
  <sheetViews>
    <sheetView zoomScale="90" zoomScaleNormal="90" workbookViewId="0"/>
  </sheetViews>
  <sheetFormatPr baseColWidth="10" defaultColWidth="11.42578125" defaultRowHeight="12.75" x14ac:dyDescent="0.2"/>
  <cols>
    <col min="1" max="1" width="5.140625" style="1" customWidth="1"/>
    <col min="2" max="2" width="6.5703125" style="1" customWidth="1"/>
    <col min="3" max="3" width="10.85546875" style="1" customWidth="1"/>
    <col min="4" max="4" width="7.140625" style="1" customWidth="1"/>
    <col min="5" max="5" width="38.7109375" style="1" customWidth="1"/>
    <col min="6" max="6" width="17.42578125" style="1" customWidth="1"/>
    <col min="7" max="7" width="16.5703125" style="27" bestFit="1" customWidth="1"/>
    <col min="8" max="8" width="7.140625" style="28" customWidth="1"/>
    <col min="9" max="11" width="6.85546875" style="29" customWidth="1"/>
    <col min="12" max="12" width="17.140625" style="27" customWidth="1"/>
    <col min="13" max="13" width="12.85546875" style="30" customWidth="1"/>
    <col min="14" max="14" width="11.42578125" style="1"/>
    <col min="15" max="15" width="18.5703125" style="31" customWidth="1"/>
    <col min="16" max="16" width="11.42578125" style="32"/>
    <col min="17" max="17" width="14.28515625" style="32" customWidth="1"/>
    <col min="18" max="16384" width="11.42578125" style="1"/>
  </cols>
  <sheetData>
    <row r="1" spans="5:17" ht="13.5" thickBot="1" x14ac:dyDescent="0.25"/>
    <row r="2" spans="5:17" s="39" customFormat="1" ht="25.5" customHeight="1" thickBot="1" x14ac:dyDescent="0.25">
      <c r="E2" s="33"/>
      <c r="F2" s="34"/>
      <c r="G2" s="35" t="str">
        <f>IF(Bieter&lt;&gt;"",Bieter,"Bietername fehlt !")</f>
        <v>Bietername fehlt !</v>
      </c>
      <c r="H2" s="164"/>
      <c r="I2" s="36"/>
      <c r="J2" s="36"/>
      <c r="K2" s="36"/>
      <c r="L2" s="33"/>
      <c r="M2" s="34"/>
      <c r="N2" s="37"/>
      <c r="O2" s="35" t="s">
        <v>263</v>
      </c>
      <c r="P2" s="152">
        <v>6</v>
      </c>
      <c r="Q2" s="38"/>
    </row>
    <row r="3" spans="5:17" ht="13.5" thickBot="1" x14ac:dyDescent="0.25"/>
    <row r="4" spans="5:17" s="42" customFormat="1" ht="25.5" customHeight="1" thickBot="1" x14ac:dyDescent="0.25">
      <c r="E4" s="116" t="s">
        <v>55</v>
      </c>
      <c r="F4" s="118"/>
      <c r="G4" s="119"/>
      <c r="H4" s="41"/>
      <c r="K4" s="43"/>
      <c r="L4" s="117" t="s">
        <v>56</v>
      </c>
      <c r="M4" s="138"/>
      <c r="N4" s="138"/>
      <c r="O4" s="139"/>
      <c r="P4" s="44"/>
      <c r="Q4" s="44"/>
    </row>
    <row r="5" spans="5:17" s="42" customFormat="1" ht="18.75" customHeight="1" x14ac:dyDescent="0.2">
      <c r="E5" s="120" t="s">
        <v>45</v>
      </c>
      <c r="F5" s="121"/>
      <c r="G5" s="122">
        <v>12</v>
      </c>
      <c r="H5" s="41"/>
      <c r="I5" s="45"/>
      <c r="L5" s="120" t="s">
        <v>60</v>
      </c>
      <c r="M5" s="121"/>
      <c r="N5" s="140"/>
      <c r="O5" s="141" t="s">
        <v>69</v>
      </c>
      <c r="P5" s="44"/>
      <c r="Q5" s="44"/>
    </row>
    <row r="6" spans="5:17" s="42" customFormat="1" ht="18.75" customHeight="1" x14ac:dyDescent="0.2">
      <c r="E6" s="120" t="s">
        <v>495</v>
      </c>
      <c r="F6" s="121"/>
      <c r="G6" s="122">
        <v>1</v>
      </c>
      <c r="H6" s="41"/>
      <c r="I6" s="45"/>
      <c r="L6" s="120"/>
      <c r="M6" s="121"/>
      <c r="N6" s="140"/>
      <c r="O6" s="142"/>
      <c r="P6" s="44"/>
      <c r="Q6" s="44"/>
    </row>
    <row r="7" spans="5:17" s="42" customFormat="1" ht="18.75" customHeight="1" x14ac:dyDescent="0.2">
      <c r="E7" s="120" t="s">
        <v>44</v>
      </c>
      <c r="F7" s="121"/>
      <c r="G7" s="123">
        <f>SUM($G$23:$G$29)</f>
        <v>3.52</v>
      </c>
      <c r="H7" s="41"/>
      <c r="I7" s="45"/>
      <c r="J7" s="45"/>
      <c r="L7" s="120" t="s">
        <v>44</v>
      </c>
      <c r="M7" s="121"/>
      <c r="N7" s="121"/>
      <c r="O7" s="143">
        <f>IF($O$5="JA",$G$38,0)</f>
        <v>3.52</v>
      </c>
      <c r="P7" s="44"/>
      <c r="Q7" s="44"/>
    </row>
    <row r="8" spans="5:17" s="42" customFormat="1" ht="18.75" customHeight="1" x14ac:dyDescent="0.2">
      <c r="E8" s="120" t="s">
        <v>48</v>
      </c>
      <c r="F8" s="121"/>
      <c r="G8" s="123">
        <f>G7*G5</f>
        <v>42.24</v>
      </c>
      <c r="H8" s="41"/>
      <c r="I8" s="45"/>
      <c r="J8" s="45"/>
      <c r="L8" s="120" t="s">
        <v>48</v>
      </c>
      <c r="M8" s="121"/>
      <c r="N8" s="121"/>
      <c r="O8" s="143">
        <f>IF($O$5="JA",$L$38,0)</f>
        <v>0</v>
      </c>
      <c r="P8" s="44"/>
      <c r="Q8" s="44"/>
    </row>
    <row r="9" spans="5:17" s="42" customFormat="1" ht="18.75" customHeight="1" x14ac:dyDescent="0.2">
      <c r="E9" s="120" t="s">
        <v>49</v>
      </c>
      <c r="F9" s="121"/>
      <c r="G9" s="124">
        <f ca="1">SUM($O$23:$O$29)</f>
        <v>0</v>
      </c>
      <c r="H9" s="41"/>
      <c r="I9" s="45"/>
      <c r="J9" s="45"/>
      <c r="L9" s="120" t="s">
        <v>49</v>
      </c>
      <c r="M9" s="121"/>
      <c r="N9" s="121"/>
      <c r="O9" s="124">
        <f ca="1">IF($O$5="JA",$O$38,0)</f>
        <v>0</v>
      </c>
      <c r="P9" s="44"/>
      <c r="Q9" s="44"/>
    </row>
    <row r="10" spans="5:17" s="42" customFormat="1" ht="18.75" customHeight="1" x14ac:dyDescent="0.2">
      <c r="E10" s="120" t="s">
        <v>51</v>
      </c>
      <c r="F10" s="121"/>
      <c r="G10" s="124">
        <f ca="1">G9/G5</f>
        <v>0</v>
      </c>
      <c r="H10" s="41"/>
      <c r="I10" s="45"/>
      <c r="J10" s="45"/>
      <c r="L10" s="120"/>
      <c r="M10" s="121"/>
      <c r="N10" s="121"/>
      <c r="O10" s="144"/>
      <c r="P10" s="44"/>
      <c r="Q10" s="44"/>
    </row>
    <row r="11" spans="5:17" s="42" customFormat="1" ht="18.75" customHeight="1" x14ac:dyDescent="0.2">
      <c r="E11" s="120"/>
      <c r="F11" s="121"/>
      <c r="G11" s="125"/>
      <c r="H11" s="41"/>
      <c r="I11" s="45"/>
      <c r="J11" s="45"/>
      <c r="L11" s="120" t="s">
        <v>50</v>
      </c>
      <c r="M11" s="121"/>
      <c r="N11" s="121"/>
      <c r="O11" s="125" t="e">
        <f ca="1">IF($O$5="JA",$O$8/$O$9,0)</f>
        <v>#DIV/0!</v>
      </c>
      <c r="P11" s="44"/>
      <c r="Q11" s="44"/>
    </row>
    <row r="12" spans="5:17" s="42" customFormat="1" ht="18.75" customHeight="1" thickBot="1" x14ac:dyDescent="0.25">
      <c r="E12" s="126" t="s">
        <v>57</v>
      </c>
      <c r="F12" s="127"/>
      <c r="G12" s="128">
        <f ca="1">IF(G9&gt;0,G14/G9,0)</f>
        <v>0</v>
      </c>
      <c r="H12" s="41"/>
      <c r="I12" s="45"/>
      <c r="J12" s="45"/>
      <c r="L12" s="126" t="s">
        <v>57</v>
      </c>
      <c r="M12" s="127"/>
      <c r="N12" s="127"/>
      <c r="O12" s="145" t="e">
        <f ca="1">IF($O$5="JA",$O$14/$O$9,0)</f>
        <v>#DIV/0!</v>
      </c>
      <c r="P12" s="44"/>
      <c r="Q12" s="44"/>
    </row>
    <row r="13" spans="5:17" s="42" customFormat="1" ht="6.75" customHeight="1" thickBot="1" x14ac:dyDescent="0.25">
      <c r="E13" s="121"/>
      <c r="F13" s="121"/>
      <c r="G13" s="129"/>
      <c r="H13" s="41"/>
      <c r="I13" s="45"/>
      <c r="J13" s="45"/>
      <c r="L13" s="121"/>
      <c r="M13" s="121"/>
      <c r="N13" s="121"/>
      <c r="O13" s="146"/>
      <c r="P13" s="44"/>
      <c r="Q13" s="44"/>
    </row>
    <row r="14" spans="5:17" s="42" customFormat="1" ht="18.75" customHeight="1" x14ac:dyDescent="0.2">
      <c r="E14" s="130" t="s">
        <v>65</v>
      </c>
      <c r="F14" s="131">
        <f ca="1">G14/G5</f>
        <v>0</v>
      </c>
      <c r="G14" s="132">
        <f ca="1">SUM(Q23:Q29)</f>
        <v>0</v>
      </c>
      <c r="H14" s="41"/>
      <c r="I14" s="45"/>
      <c r="J14" s="45"/>
      <c r="K14" s="46"/>
      <c r="L14" s="130" t="s">
        <v>52</v>
      </c>
      <c r="M14" s="147"/>
      <c r="N14" s="147"/>
      <c r="O14" s="148">
        <f ca="1">IF($O$5="JA",$Q$38,0)</f>
        <v>0</v>
      </c>
      <c r="P14" s="44"/>
      <c r="Q14" s="44"/>
    </row>
    <row r="15" spans="5:17" s="42" customFormat="1" ht="18.75" customHeight="1" x14ac:dyDescent="0.2">
      <c r="E15" s="133" t="s">
        <v>53</v>
      </c>
      <c r="F15" s="129"/>
      <c r="G15" s="134">
        <f ca="1">G14*0.19</f>
        <v>0</v>
      </c>
      <c r="H15" s="41"/>
      <c r="I15" s="45"/>
      <c r="J15" s="45"/>
      <c r="K15" s="46"/>
      <c r="L15" s="133" t="s">
        <v>53</v>
      </c>
      <c r="M15" s="121"/>
      <c r="N15" s="121"/>
      <c r="O15" s="149">
        <f ca="1">IF($O$5="JA",O14*0.19,0)</f>
        <v>0</v>
      </c>
      <c r="P15" s="44"/>
      <c r="Q15" s="44"/>
    </row>
    <row r="16" spans="5:17" s="42" customFormat="1" ht="18.75" customHeight="1" thickBot="1" x14ac:dyDescent="0.25">
      <c r="E16" s="135" t="s">
        <v>54</v>
      </c>
      <c r="F16" s="136"/>
      <c r="G16" s="137">
        <f ca="1">G14+G15</f>
        <v>0</v>
      </c>
      <c r="H16" s="41"/>
      <c r="I16" s="45"/>
      <c r="J16" s="45"/>
      <c r="K16" s="46"/>
      <c r="L16" s="135" t="s">
        <v>54</v>
      </c>
      <c r="M16" s="127"/>
      <c r="N16" s="127"/>
      <c r="O16" s="150">
        <f ca="1">IF(O14&lt;&gt;0,SUM(O14:O15),0)</f>
        <v>0</v>
      </c>
      <c r="P16" s="44"/>
      <c r="Q16" s="44"/>
    </row>
    <row r="17" spans="1:17" ht="6" customHeight="1" thickBot="1" x14ac:dyDescent="0.25">
      <c r="M17" s="1"/>
    </row>
    <row r="18" spans="1:17" ht="18" customHeight="1" thickBot="1" x14ac:dyDescent="0.25">
      <c r="A18" s="46"/>
      <c r="B18" s="46"/>
      <c r="C18" s="46"/>
      <c r="D18" s="46"/>
      <c r="E18" s="390" t="s">
        <v>63</v>
      </c>
      <c r="F18" s="391"/>
      <c r="G18" s="392"/>
      <c r="H18" s="47"/>
      <c r="I18" s="48"/>
      <c r="J18" s="48"/>
      <c r="K18" s="48"/>
      <c r="L18" s="393" t="s">
        <v>62</v>
      </c>
      <c r="M18" s="394"/>
      <c r="N18" s="394"/>
      <c r="O18" s="395"/>
      <c r="P18" s="49"/>
      <c r="Q18" s="49"/>
    </row>
    <row r="19" spans="1:17" ht="6" customHeight="1" thickBot="1" x14ac:dyDescent="0.25"/>
    <row r="20" spans="1:17" s="58" customFormat="1" x14ac:dyDescent="0.2">
      <c r="A20" s="50" t="s">
        <v>0</v>
      </c>
      <c r="B20" s="51" t="s">
        <v>40</v>
      </c>
      <c r="C20" s="51" t="s">
        <v>61</v>
      </c>
      <c r="D20" s="51" t="s">
        <v>41</v>
      </c>
      <c r="E20" s="52" t="s">
        <v>42</v>
      </c>
      <c r="F20" s="52" t="s">
        <v>24</v>
      </c>
      <c r="G20" s="53" t="s">
        <v>25</v>
      </c>
      <c r="H20" s="52" t="s">
        <v>1</v>
      </c>
      <c r="I20" s="396" t="s">
        <v>26</v>
      </c>
      <c r="J20" s="396"/>
      <c r="K20" s="396"/>
      <c r="L20" s="53" t="s">
        <v>33</v>
      </c>
      <c r="M20" s="54" t="s">
        <v>2</v>
      </c>
      <c r="N20" s="52" t="s">
        <v>15</v>
      </c>
      <c r="O20" s="55" t="s">
        <v>30</v>
      </c>
      <c r="P20" s="56" t="s">
        <v>13</v>
      </c>
      <c r="Q20" s="57" t="s">
        <v>31</v>
      </c>
    </row>
    <row r="21" spans="1:17" s="58" customFormat="1" ht="25.5" customHeight="1" thickBot="1" x14ac:dyDescent="0.25">
      <c r="A21" s="18"/>
      <c r="B21" s="19"/>
      <c r="C21" s="19"/>
      <c r="D21" s="19"/>
      <c r="E21" s="20" t="s">
        <v>43</v>
      </c>
      <c r="F21" s="20"/>
      <c r="G21" s="21" t="s">
        <v>32</v>
      </c>
      <c r="H21" s="20"/>
      <c r="I21" s="22" t="s">
        <v>27</v>
      </c>
      <c r="J21" s="22" t="s">
        <v>28</v>
      </c>
      <c r="K21" s="22" t="s">
        <v>29</v>
      </c>
      <c r="L21" s="21" t="s">
        <v>34</v>
      </c>
      <c r="M21" s="23" t="s">
        <v>35</v>
      </c>
      <c r="N21" s="20" t="s">
        <v>36</v>
      </c>
      <c r="O21" s="24" t="s">
        <v>37</v>
      </c>
      <c r="P21" s="25" t="s">
        <v>38</v>
      </c>
      <c r="Q21" s="26" t="s">
        <v>39</v>
      </c>
    </row>
    <row r="22" spans="1:17" ht="3.75" customHeight="1" x14ac:dyDescent="0.2">
      <c r="A22" s="68" t="s">
        <v>21</v>
      </c>
      <c r="B22" s="69" t="s">
        <v>21</v>
      </c>
      <c r="C22" s="69"/>
      <c r="D22" s="69" t="s">
        <v>21</v>
      </c>
      <c r="E22" s="69" t="s">
        <v>21</v>
      </c>
      <c r="F22" s="69" t="s">
        <v>21</v>
      </c>
      <c r="G22" s="70" t="s">
        <v>21</v>
      </c>
      <c r="H22" s="71" t="s">
        <v>21</v>
      </c>
      <c r="I22" s="72" t="s">
        <v>21</v>
      </c>
      <c r="J22" s="72" t="s">
        <v>21</v>
      </c>
      <c r="K22" s="72" t="s">
        <v>21</v>
      </c>
      <c r="L22" s="70" t="s">
        <v>21</v>
      </c>
      <c r="M22" s="73" t="s">
        <v>21</v>
      </c>
      <c r="N22" s="74" t="s">
        <v>21</v>
      </c>
      <c r="O22" s="75" t="s">
        <v>21</v>
      </c>
      <c r="P22" s="76" t="s">
        <v>21</v>
      </c>
      <c r="Q22" s="77" t="s">
        <v>21</v>
      </c>
    </row>
    <row r="23" spans="1:17" ht="24" customHeight="1" x14ac:dyDescent="0.2">
      <c r="A23" s="81"/>
      <c r="B23" s="82"/>
      <c r="C23" s="82"/>
      <c r="D23" s="82"/>
      <c r="E23" s="318" t="s">
        <v>492</v>
      </c>
      <c r="F23" s="82"/>
      <c r="G23" s="83"/>
      <c r="H23" s="245"/>
      <c r="I23" s="246"/>
      <c r="J23" s="246"/>
      <c r="K23" s="246"/>
      <c r="L23" s="83"/>
      <c r="M23" s="297"/>
      <c r="N23" s="84"/>
      <c r="O23" s="80"/>
      <c r="P23" s="298"/>
      <c r="Q23" s="85"/>
    </row>
    <row r="24" spans="1:17" ht="24" customHeight="1" x14ac:dyDescent="0.2">
      <c r="A24" s="81"/>
      <c r="B24" s="82"/>
      <c r="C24" s="82"/>
      <c r="D24" s="82"/>
      <c r="E24" s="412" t="s">
        <v>496</v>
      </c>
      <c r="F24" s="413"/>
      <c r="G24" s="414"/>
      <c r="H24" s="245"/>
      <c r="I24" s="246"/>
      <c r="J24" s="246">
        <v>1</v>
      </c>
      <c r="K24" s="246"/>
      <c r="L24" s="415" t="s">
        <v>491</v>
      </c>
      <c r="M24" s="416"/>
      <c r="N24" s="317">
        <v>3.125E-2</v>
      </c>
      <c r="O24" s="80">
        <f ca="1">IF(P24&gt;0,(J24*12*N24*24),0)</f>
        <v>0</v>
      </c>
      <c r="P24" s="248">
        <f t="shared" ref="P24" ca="1" si="0">SVS_UR</f>
        <v>0</v>
      </c>
      <c r="Q24" s="85">
        <f t="shared" ref="Q24" ca="1" si="1">O24*P24</f>
        <v>0</v>
      </c>
    </row>
    <row r="25" spans="1:17" ht="24" customHeight="1" x14ac:dyDescent="0.2">
      <c r="A25" s="81">
        <v>1</v>
      </c>
      <c r="B25" s="82"/>
      <c r="C25" s="82"/>
      <c r="D25" s="82"/>
      <c r="E25" s="82" t="s">
        <v>397</v>
      </c>
      <c r="F25" s="82"/>
      <c r="G25" s="83"/>
      <c r="H25" s="304" t="s">
        <v>16</v>
      </c>
      <c r="I25" s="246"/>
      <c r="J25" s="246"/>
      <c r="K25" s="246"/>
      <c r="L25" s="83"/>
      <c r="M25" s="297"/>
      <c r="N25" s="84"/>
      <c r="O25" s="80"/>
      <c r="P25" s="298"/>
      <c r="Q25" s="85"/>
    </row>
    <row r="26" spans="1:17" ht="24" customHeight="1" x14ac:dyDescent="0.2">
      <c r="A26" s="81">
        <f>A25+1</f>
        <v>2</v>
      </c>
      <c r="B26" s="82"/>
      <c r="C26" s="82"/>
      <c r="D26" s="82"/>
      <c r="E26" s="82" t="s">
        <v>407</v>
      </c>
      <c r="F26" s="82"/>
      <c r="G26" s="83">
        <v>1.76</v>
      </c>
      <c r="H26" s="245"/>
      <c r="I26" s="246"/>
      <c r="J26" s="246">
        <v>1</v>
      </c>
      <c r="K26" s="246"/>
      <c r="L26" s="83"/>
      <c r="M26" s="297"/>
      <c r="N26" s="84"/>
      <c r="O26" s="80"/>
      <c r="P26" s="298"/>
      <c r="Q26" s="85"/>
    </row>
    <row r="27" spans="1:17" ht="24" customHeight="1" x14ac:dyDescent="0.2">
      <c r="A27" s="81">
        <f t="shared" ref="A27:A28" si="2">A26+1</f>
        <v>3</v>
      </c>
      <c r="B27" s="82"/>
      <c r="C27" s="82"/>
      <c r="D27" s="82"/>
      <c r="E27" s="82" t="s">
        <v>403</v>
      </c>
      <c r="F27" s="82"/>
      <c r="G27" s="83">
        <v>1.76</v>
      </c>
      <c r="H27" s="245"/>
      <c r="I27" s="246"/>
      <c r="J27" s="246">
        <v>1</v>
      </c>
      <c r="K27" s="246"/>
      <c r="L27" s="83"/>
      <c r="M27" s="297"/>
      <c r="N27" s="84"/>
      <c r="O27" s="80"/>
      <c r="P27" s="298"/>
      <c r="Q27" s="85"/>
    </row>
    <row r="28" spans="1:17" ht="24" customHeight="1" x14ac:dyDescent="0.2">
      <c r="A28" s="81">
        <f t="shared" si="2"/>
        <v>4</v>
      </c>
      <c r="B28" s="82"/>
      <c r="C28" s="82"/>
      <c r="D28" s="82"/>
      <c r="E28" s="82" t="s">
        <v>268</v>
      </c>
      <c r="F28" s="82"/>
      <c r="G28" s="83"/>
      <c r="H28" s="304" t="s">
        <v>16</v>
      </c>
      <c r="I28" s="246"/>
      <c r="J28" s="246"/>
      <c r="K28" s="246"/>
      <c r="L28" s="83"/>
      <c r="M28" s="297"/>
      <c r="N28" s="84"/>
      <c r="O28" s="80"/>
      <c r="P28" s="298"/>
      <c r="Q28" s="85"/>
    </row>
    <row r="29" spans="1:17" ht="3.75" customHeight="1" thickBot="1" x14ac:dyDescent="0.25">
      <c r="A29" s="86"/>
      <c r="B29" s="87"/>
      <c r="C29" s="87"/>
      <c r="D29" s="87"/>
      <c r="E29" s="87"/>
      <c r="F29" s="87"/>
      <c r="G29" s="88"/>
      <c r="H29" s="89"/>
      <c r="I29" s="90"/>
      <c r="J29" s="90"/>
      <c r="K29" s="90"/>
      <c r="L29" s="88"/>
      <c r="M29" s="91"/>
      <c r="N29" s="87"/>
      <c r="O29" s="92"/>
      <c r="P29" s="93"/>
      <c r="Q29" s="94"/>
    </row>
    <row r="30" spans="1:17" s="46" customFormat="1" ht="25.5" customHeight="1" thickBot="1" x14ac:dyDescent="0.25">
      <c r="A30" s="40" t="s">
        <v>47</v>
      </c>
      <c r="B30" s="95"/>
      <c r="C30" s="95"/>
      <c r="D30" s="95"/>
      <c r="E30" s="95"/>
      <c r="F30" s="96"/>
      <c r="G30" s="97">
        <f>SUBTOTAL(9,G23:G29)</f>
        <v>3.52</v>
      </c>
      <c r="H30" s="98"/>
      <c r="I30" s="99"/>
      <c r="J30" s="99"/>
      <c r="K30" s="99"/>
      <c r="L30" s="97">
        <f>SUBTOTAL(9,L23:L29)</f>
        <v>0</v>
      </c>
      <c r="M30" s="100" t="e">
        <f ca="1">L30/O30</f>
        <v>#DIV/0!</v>
      </c>
      <c r="N30" s="95"/>
      <c r="O30" s="101">
        <f ca="1">SUBTOTAL(9,O23:O29)</f>
        <v>0</v>
      </c>
      <c r="P30" s="102"/>
      <c r="Q30" s="220">
        <f ca="1">SUBTOTAL(9,Q23:Q29)</f>
        <v>0</v>
      </c>
    </row>
    <row r="32" spans="1:17" ht="13.5" thickBot="1" x14ac:dyDescent="0.25"/>
    <row r="33" spans="1:17" s="58" customFormat="1" x14ac:dyDescent="0.2">
      <c r="A33" s="50" t="s">
        <v>0</v>
      </c>
      <c r="B33" s="51" t="s">
        <v>40</v>
      </c>
      <c r="C33" s="51"/>
      <c r="D33" s="51" t="s">
        <v>41</v>
      </c>
      <c r="E33" s="52" t="s">
        <v>42</v>
      </c>
      <c r="F33" s="52" t="s">
        <v>24</v>
      </c>
      <c r="G33" s="53" t="s">
        <v>25</v>
      </c>
      <c r="H33" s="52" t="s">
        <v>1</v>
      </c>
      <c r="I33" s="396" t="s">
        <v>26</v>
      </c>
      <c r="J33" s="396"/>
      <c r="K33" s="396"/>
      <c r="L33" s="53" t="s">
        <v>33</v>
      </c>
      <c r="M33" s="54" t="s">
        <v>2</v>
      </c>
      <c r="N33" s="52" t="s">
        <v>15</v>
      </c>
      <c r="O33" s="55" t="s">
        <v>30</v>
      </c>
      <c r="P33" s="56" t="s">
        <v>13</v>
      </c>
      <c r="Q33" s="57" t="s">
        <v>31</v>
      </c>
    </row>
    <row r="34" spans="1:17" s="58" customFormat="1" ht="25.5" customHeight="1" thickBot="1" x14ac:dyDescent="0.25">
      <c r="A34" s="59"/>
      <c r="B34" s="60"/>
      <c r="C34" s="60"/>
      <c r="D34" s="60"/>
      <c r="E34" s="61" t="s">
        <v>43</v>
      </c>
      <c r="F34" s="61"/>
      <c r="G34" s="62" t="s">
        <v>32</v>
      </c>
      <c r="H34" s="61"/>
      <c r="I34" s="63" t="s">
        <v>27</v>
      </c>
      <c r="J34" s="63" t="s">
        <v>28</v>
      </c>
      <c r="K34" s="63" t="s">
        <v>29</v>
      </c>
      <c r="L34" s="62" t="s">
        <v>34</v>
      </c>
      <c r="M34" s="64" t="s">
        <v>35</v>
      </c>
      <c r="N34" s="61" t="s">
        <v>36</v>
      </c>
      <c r="O34" s="65" t="s">
        <v>37</v>
      </c>
      <c r="P34" s="66" t="s">
        <v>38</v>
      </c>
      <c r="Q34" s="67" t="s">
        <v>39</v>
      </c>
    </row>
    <row r="35" spans="1:17" ht="3.75" customHeight="1" x14ac:dyDescent="0.2">
      <c r="A35" s="68" t="s">
        <v>21</v>
      </c>
      <c r="B35" s="69" t="s">
        <v>21</v>
      </c>
      <c r="C35" s="69"/>
      <c r="D35" s="69" t="s">
        <v>21</v>
      </c>
      <c r="E35" s="69" t="s">
        <v>21</v>
      </c>
      <c r="F35" s="69" t="s">
        <v>21</v>
      </c>
      <c r="G35" s="70" t="s">
        <v>21</v>
      </c>
      <c r="H35" s="71" t="s">
        <v>21</v>
      </c>
      <c r="I35" s="72" t="s">
        <v>21</v>
      </c>
      <c r="J35" s="72" t="s">
        <v>21</v>
      </c>
      <c r="K35" s="72" t="s">
        <v>21</v>
      </c>
      <c r="L35" s="70" t="s">
        <v>21</v>
      </c>
      <c r="M35" s="73" t="s">
        <v>21</v>
      </c>
      <c r="N35" s="74" t="s">
        <v>21</v>
      </c>
      <c r="O35" s="75" t="s">
        <v>21</v>
      </c>
      <c r="P35" s="76" t="s">
        <v>21</v>
      </c>
      <c r="Q35" s="77" t="s">
        <v>21</v>
      </c>
    </row>
    <row r="36" spans="1:17" ht="24" customHeight="1" x14ac:dyDescent="0.2">
      <c r="A36" s="81">
        <f>A28+1</f>
        <v>5</v>
      </c>
      <c r="B36" s="82"/>
      <c r="C36" s="82"/>
      <c r="D36" s="82"/>
      <c r="E36" s="303" t="s">
        <v>598</v>
      </c>
      <c r="F36" s="82"/>
      <c r="G36" s="83">
        <f>IF($O$5="JA",SUM(G23:G29),0)</f>
        <v>3.52</v>
      </c>
      <c r="H36" s="302" t="s">
        <v>398</v>
      </c>
      <c r="I36" s="79">
        <f>VLOOKUP($H36,Leistungswerte!$A$8:$E$54,3,FALSE)</f>
        <v>0</v>
      </c>
      <c r="J36" s="79">
        <f>VLOOKUP($H36,Leistungswerte!$A$8:$E$54,4,FALSE)</f>
        <v>0</v>
      </c>
      <c r="K36" s="79">
        <f>VLOOKUP($H36,Leistungswerte!$A$8:$E$54,5,FALSE)</f>
        <v>1</v>
      </c>
      <c r="L36" s="415" t="s">
        <v>503</v>
      </c>
      <c r="M36" s="416"/>
      <c r="N36" s="317">
        <f>N24*2</f>
        <v>6.25E-2</v>
      </c>
      <c r="O36" s="80">
        <f ca="1">IF(P36&gt;0,K36*N36*24,0)</f>
        <v>0</v>
      </c>
      <c r="P36" s="162">
        <f ca="1">SVS_GR</f>
        <v>0</v>
      </c>
      <c r="Q36" s="85">
        <f ca="1">O36*P36</f>
        <v>0</v>
      </c>
    </row>
    <row r="37" spans="1:17" ht="3.75" customHeight="1" thickBot="1" x14ac:dyDescent="0.25">
      <c r="A37" s="103"/>
      <c r="B37" s="104"/>
      <c r="C37" s="104"/>
      <c r="D37" s="104"/>
      <c r="E37" s="104"/>
      <c r="F37" s="104"/>
      <c r="G37" s="105"/>
      <c r="H37" s="106"/>
      <c r="I37" s="107"/>
      <c r="J37" s="107"/>
      <c r="K37" s="107"/>
      <c r="L37" s="105"/>
      <c r="M37" s="108"/>
      <c r="N37" s="104"/>
      <c r="O37" s="109"/>
      <c r="P37" s="110"/>
      <c r="Q37" s="111"/>
    </row>
    <row r="38" spans="1:17" s="46" customFormat="1" ht="25.5" customHeight="1" thickBot="1" x14ac:dyDescent="0.25">
      <c r="A38" s="40" t="s">
        <v>58</v>
      </c>
      <c r="B38" s="95"/>
      <c r="C38" s="95"/>
      <c r="D38" s="95"/>
      <c r="E38" s="95"/>
      <c r="F38" s="96"/>
      <c r="G38" s="97">
        <f>SUM(G36:G37)</f>
        <v>3.52</v>
      </c>
      <c r="H38" s="98"/>
      <c r="I38" s="99"/>
      <c r="J38" s="99"/>
      <c r="K38" s="99"/>
      <c r="L38" s="97">
        <f>SUM(L36:L37)</f>
        <v>0</v>
      </c>
      <c r="M38" s="100" t="e">
        <f ca="1">L38/O38</f>
        <v>#DIV/0!</v>
      </c>
      <c r="N38" s="95"/>
      <c r="O38" s="101">
        <f ca="1">SUM(O36:O37)</f>
        <v>0</v>
      </c>
      <c r="P38" s="102"/>
      <c r="Q38" s="220">
        <f ca="1">SUM(Q36:Q37)</f>
        <v>0</v>
      </c>
    </row>
    <row r="40" spans="1:17" ht="13.5" thickBot="1" x14ac:dyDescent="0.25"/>
    <row r="41" spans="1:17" ht="18" customHeight="1" thickBot="1" x14ac:dyDescent="0.25">
      <c r="E41" s="397" t="s">
        <v>155</v>
      </c>
      <c r="F41" s="398"/>
      <c r="G41" s="398"/>
      <c r="H41" s="398"/>
      <c r="I41" s="398"/>
      <c r="J41" s="398"/>
      <c r="K41" s="398"/>
      <c r="L41" s="398"/>
      <c r="M41" s="398"/>
      <c r="N41" s="398"/>
      <c r="O41" s="399"/>
    </row>
    <row r="42" spans="1:17" ht="18" customHeight="1" x14ac:dyDescent="0.2">
      <c r="E42" s="277" t="s">
        <v>225</v>
      </c>
      <c r="F42" s="400" t="s">
        <v>393</v>
      </c>
      <c r="G42" s="400"/>
      <c r="H42" s="400"/>
      <c r="I42" s="400"/>
      <c r="J42" s="400"/>
      <c r="K42" s="400"/>
      <c r="L42" s="400"/>
      <c r="M42" s="400"/>
      <c r="N42" s="400"/>
      <c r="O42" s="401"/>
    </row>
    <row r="43" spans="1:17" ht="18" customHeight="1" x14ac:dyDescent="0.2">
      <c r="E43" s="275" t="s">
        <v>226</v>
      </c>
      <c r="F43" s="388" t="s">
        <v>443</v>
      </c>
      <c r="G43" s="388"/>
      <c r="H43" s="388"/>
      <c r="I43" s="388"/>
      <c r="J43" s="388"/>
      <c r="K43" s="388"/>
      <c r="L43" s="388"/>
      <c r="M43" s="388"/>
      <c r="N43" s="388"/>
      <c r="O43" s="389"/>
    </row>
    <row r="44" spans="1:17" ht="18" customHeight="1" x14ac:dyDescent="0.2">
      <c r="E44" s="275" t="s">
        <v>227</v>
      </c>
      <c r="F44" s="388" t="s">
        <v>501</v>
      </c>
      <c r="G44" s="388"/>
      <c r="H44" s="388"/>
      <c r="I44" s="388"/>
      <c r="J44" s="388"/>
      <c r="K44" s="388"/>
      <c r="L44" s="388"/>
      <c r="M44" s="388"/>
      <c r="N44" s="388"/>
      <c r="O44" s="389"/>
    </row>
    <row r="45" spans="1:17" ht="18" customHeight="1" thickBot="1" x14ac:dyDescent="0.25">
      <c r="E45" s="276" t="s">
        <v>228</v>
      </c>
      <c r="F45" s="402" t="s">
        <v>475</v>
      </c>
      <c r="G45" s="402"/>
      <c r="H45" s="402"/>
      <c r="I45" s="402"/>
      <c r="J45" s="402"/>
      <c r="K45" s="402"/>
      <c r="L45" s="402"/>
      <c r="M45" s="402"/>
      <c r="N45" s="402"/>
      <c r="O45" s="403"/>
    </row>
  </sheetData>
  <sheetProtection algorithmName="SHA-512" hashValue="9BHVu74WW9I73fLHcJp51qrkHVOQgSctipxbSaJz7nNpTZmExm87n8e2I1ziS4lDCn07KRb06zB/LTbL6RaRkA==" saltValue="8PqKuDd70R+7cJbh7QEUfA==" spinCount="100000" sheet="1" autoFilter="0"/>
  <autoFilter ref="A21:Q28" xr:uid="{00000000-0009-0000-0000-000011000000}"/>
  <mergeCells count="12">
    <mergeCell ref="F44:O44"/>
    <mergeCell ref="F45:O45"/>
    <mergeCell ref="F43:O43"/>
    <mergeCell ref="E18:G18"/>
    <mergeCell ref="L18:O18"/>
    <mergeCell ref="I20:K20"/>
    <mergeCell ref="I33:K33"/>
    <mergeCell ref="E41:O41"/>
    <mergeCell ref="F42:O42"/>
    <mergeCell ref="E24:G24"/>
    <mergeCell ref="L24:M24"/>
    <mergeCell ref="L36:M36"/>
  </mergeCells>
  <conditionalFormatting sqref="I23:K28">
    <cfRule type="cellIs" dxfId="6" priority="1" stopIfTrue="1" operator="equal">
      <formula>0</formula>
    </cfRule>
  </conditionalFormatting>
  <conditionalFormatting sqref="O7:O16 I36:K36">
    <cfRule type="cellIs" dxfId="5" priority="9" stopIfTrue="1" operator="equal">
      <formula>0</formula>
    </cfRule>
  </conditionalFormatting>
  <hyperlinks>
    <hyperlink ref="E18:G18" location="Angebotsübersicht!A1" display="Zur Angebotsübersicht" xr:uid="{00000000-0004-0000-1100-000000000000}"/>
    <hyperlink ref="L18:O18" location="Leistungswerte!A1" display="Zu den Leistungswerten" xr:uid="{00000000-0004-0000-1100-000001000000}"/>
  </hyperlinks>
  <printOptions horizontalCentered="1"/>
  <pageMargins left="0.55118110236220474" right="0.35433070866141736" top="0.31496062992125984" bottom="0.51181102362204722" header="0.19685039370078741" footer="0.31496062992125984"/>
  <pageSetup paperSize="9" scale="67" fitToHeight="0" orientation="landscape" r:id="rId1"/>
  <headerFooter alignWithMargins="0">
    <oddFooter>&amp;L&amp;8Ausschreibung Unterhaltsreinigung
&amp;A&amp;R&amp;8© Lean Consulting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6" tint="0.59999389629810485"/>
    <pageSetUpPr fitToPage="1"/>
  </sheetPr>
  <dimension ref="A1:Q49"/>
  <sheetViews>
    <sheetView zoomScale="90" zoomScaleNormal="90" workbookViewId="0"/>
  </sheetViews>
  <sheetFormatPr baseColWidth="10" defaultColWidth="11.42578125" defaultRowHeight="12.75" x14ac:dyDescent="0.2"/>
  <cols>
    <col min="1" max="1" width="5.140625" style="1" customWidth="1"/>
    <col min="2" max="2" width="6.5703125" style="1" customWidth="1"/>
    <col min="3" max="3" width="10.85546875" style="1" customWidth="1"/>
    <col min="4" max="4" width="7.140625" style="1" customWidth="1"/>
    <col min="5" max="5" width="38.7109375" style="1" customWidth="1"/>
    <col min="6" max="6" width="17.42578125" style="1" customWidth="1"/>
    <col min="7" max="7" width="16.5703125" style="27" bestFit="1" customWidth="1"/>
    <col min="8" max="8" width="7.140625" style="28" customWidth="1"/>
    <col min="9" max="11" width="6.85546875" style="29" customWidth="1"/>
    <col min="12" max="12" width="17.140625" style="27" customWidth="1"/>
    <col min="13" max="13" width="12.85546875" style="30" customWidth="1"/>
    <col min="14" max="14" width="11.42578125" style="1"/>
    <col min="15" max="15" width="18.5703125" style="31" customWidth="1"/>
    <col min="16" max="16" width="11.42578125" style="32"/>
    <col min="17" max="17" width="14.28515625" style="32" customWidth="1"/>
    <col min="18" max="16384" width="11.42578125" style="1"/>
  </cols>
  <sheetData>
    <row r="1" spans="5:17" ht="13.5" thickBot="1" x14ac:dyDescent="0.25"/>
    <row r="2" spans="5:17" s="39" customFormat="1" ht="25.5" customHeight="1" thickBot="1" x14ac:dyDescent="0.25">
      <c r="E2" s="33"/>
      <c r="F2" s="34"/>
      <c r="G2" s="35" t="str">
        <f>IF(Bieter&lt;&gt;"",Bieter,"Bietername fehlt !")</f>
        <v>Bietername fehlt !</v>
      </c>
      <c r="H2" s="164"/>
      <c r="I2" s="36"/>
      <c r="J2" s="36"/>
      <c r="K2" s="36"/>
      <c r="L2" s="33"/>
      <c r="M2" s="34"/>
      <c r="N2" s="37"/>
      <c r="O2" s="35" t="s">
        <v>264</v>
      </c>
      <c r="P2" s="152">
        <v>6</v>
      </c>
      <c r="Q2" s="38"/>
    </row>
    <row r="3" spans="5:17" ht="13.5" thickBot="1" x14ac:dyDescent="0.25"/>
    <row r="4" spans="5:17" s="42" customFormat="1" ht="25.5" customHeight="1" thickBot="1" x14ac:dyDescent="0.25">
      <c r="E4" s="116" t="s">
        <v>55</v>
      </c>
      <c r="F4" s="118"/>
      <c r="G4" s="119"/>
      <c r="H4" s="41"/>
      <c r="K4" s="43"/>
      <c r="L4" s="117" t="s">
        <v>56</v>
      </c>
      <c r="M4" s="138"/>
      <c r="N4" s="138"/>
      <c r="O4" s="139"/>
      <c r="P4" s="44"/>
      <c r="Q4" s="44"/>
    </row>
    <row r="5" spans="5:17" s="42" customFormat="1" ht="18.75" customHeight="1" x14ac:dyDescent="0.2">
      <c r="E5" s="120" t="s">
        <v>45</v>
      </c>
      <c r="F5" s="121"/>
      <c r="G5" s="122">
        <v>12</v>
      </c>
      <c r="H5" s="41"/>
      <c r="I5" s="45"/>
      <c r="L5" s="120" t="s">
        <v>60</v>
      </c>
      <c r="M5" s="121"/>
      <c r="N5" s="140"/>
      <c r="O5" s="141" t="s">
        <v>69</v>
      </c>
      <c r="P5" s="44"/>
      <c r="Q5" s="44"/>
    </row>
    <row r="6" spans="5:17" s="42" customFormat="1" ht="18.75" customHeight="1" x14ac:dyDescent="0.2">
      <c r="E6" s="120" t="s">
        <v>495</v>
      </c>
      <c r="F6" s="121"/>
      <c r="G6" s="122">
        <v>1</v>
      </c>
      <c r="H6" s="41"/>
      <c r="I6" s="45"/>
      <c r="L6" s="120"/>
      <c r="M6" s="121"/>
      <c r="N6" s="140"/>
      <c r="O6" s="142"/>
      <c r="P6" s="44"/>
      <c r="Q6" s="44"/>
    </row>
    <row r="7" spans="5:17" s="42" customFormat="1" ht="18.75" customHeight="1" x14ac:dyDescent="0.2">
      <c r="E7" s="120" t="s">
        <v>44</v>
      </c>
      <c r="F7" s="121"/>
      <c r="G7" s="123">
        <f>SUM($G$23:$G$33)</f>
        <v>87.43</v>
      </c>
      <c r="H7" s="41"/>
      <c r="I7" s="45"/>
      <c r="J7" s="45"/>
      <c r="L7" s="120" t="s">
        <v>44</v>
      </c>
      <c r="M7" s="121"/>
      <c r="N7" s="121"/>
      <c r="O7" s="143">
        <f>IF($O$5="JA",$G$42,0)</f>
        <v>87.43</v>
      </c>
      <c r="P7" s="44"/>
      <c r="Q7" s="44"/>
    </row>
    <row r="8" spans="5:17" s="42" customFormat="1" ht="18.75" customHeight="1" x14ac:dyDescent="0.2">
      <c r="E8" s="120" t="s">
        <v>48</v>
      </c>
      <c r="F8" s="121"/>
      <c r="G8" s="123">
        <f>G5*G7</f>
        <v>1049.1600000000001</v>
      </c>
      <c r="H8" s="41"/>
      <c r="I8" s="45"/>
      <c r="J8" s="45"/>
      <c r="L8" s="120" t="s">
        <v>48</v>
      </c>
      <c r="M8" s="121"/>
      <c r="N8" s="121"/>
      <c r="O8" s="143">
        <f>IF($O$5="JA",$L$42,0)</f>
        <v>0</v>
      </c>
      <c r="P8" s="44"/>
      <c r="Q8" s="44"/>
    </row>
    <row r="9" spans="5:17" s="42" customFormat="1" ht="18.75" customHeight="1" x14ac:dyDescent="0.2">
      <c r="E9" s="120" t="s">
        <v>49</v>
      </c>
      <c r="F9" s="121"/>
      <c r="G9" s="124">
        <f ca="1">SUM($O$23:$O$33)</f>
        <v>0</v>
      </c>
      <c r="H9" s="41"/>
      <c r="I9" s="45"/>
      <c r="J9" s="45"/>
      <c r="L9" s="120" t="s">
        <v>49</v>
      </c>
      <c r="M9" s="121"/>
      <c r="N9" s="121"/>
      <c r="O9" s="124">
        <f ca="1">IF($O$5="JA",$O$42,0)</f>
        <v>0</v>
      </c>
      <c r="P9" s="44"/>
      <c r="Q9" s="44"/>
    </row>
    <row r="10" spans="5:17" s="42" customFormat="1" ht="18.75" customHeight="1" x14ac:dyDescent="0.2">
      <c r="E10" s="120" t="s">
        <v>51</v>
      </c>
      <c r="F10" s="121"/>
      <c r="G10" s="124">
        <f ca="1">G9/G5</f>
        <v>0</v>
      </c>
      <c r="H10" s="41"/>
      <c r="I10" s="45"/>
      <c r="J10" s="45"/>
      <c r="L10" s="120"/>
      <c r="M10" s="121"/>
      <c r="N10" s="121"/>
      <c r="O10" s="144"/>
      <c r="P10" s="44"/>
      <c r="Q10" s="44"/>
    </row>
    <row r="11" spans="5:17" s="42" customFormat="1" ht="18.75" customHeight="1" x14ac:dyDescent="0.2">
      <c r="E11" s="120"/>
      <c r="F11" s="121"/>
      <c r="G11" s="125"/>
      <c r="H11" s="41"/>
      <c r="I11" s="45"/>
      <c r="J11" s="45"/>
      <c r="L11" s="120" t="s">
        <v>50</v>
      </c>
      <c r="M11" s="121"/>
      <c r="N11" s="121"/>
      <c r="O11" s="125" t="e">
        <f ca="1">IF($O$5="JA",$O$8/$O$9,0)</f>
        <v>#DIV/0!</v>
      </c>
      <c r="P11" s="44"/>
      <c r="Q11" s="44"/>
    </row>
    <row r="12" spans="5:17" s="42" customFormat="1" ht="18.75" customHeight="1" thickBot="1" x14ac:dyDescent="0.25">
      <c r="E12" s="126" t="s">
        <v>57</v>
      </c>
      <c r="F12" s="127"/>
      <c r="G12" s="128">
        <f ca="1">IF(G9&gt;0,G14/G9,0)</f>
        <v>0</v>
      </c>
      <c r="H12" s="41"/>
      <c r="I12" s="45"/>
      <c r="J12" s="45"/>
      <c r="L12" s="126" t="s">
        <v>57</v>
      </c>
      <c r="M12" s="127"/>
      <c r="N12" s="127"/>
      <c r="O12" s="145" t="e">
        <f ca="1">IF($O$5="JA",$O$14/$O$9,0)</f>
        <v>#DIV/0!</v>
      </c>
      <c r="P12" s="44"/>
      <c r="Q12" s="44"/>
    </row>
    <row r="13" spans="5:17" s="42" customFormat="1" ht="6.75" customHeight="1" thickBot="1" x14ac:dyDescent="0.25">
      <c r="E13" s="121"/>
      <c r="F13" s="121"/>
      <c r="G13" s="129"/>
      <c r="H13" s="41"/>
      <c r="I13" s="45"/>
      <c r="J13" s="45"/>
      <c r="L13" s="121"/>
      <c r="M13" s="121"/>
      <c r="N13" s="121"/>
      <c r="O13" s="146"/>
      <c r="P13" s="44"/>
      <c r="Q13" s="44"/>
    </row>
    <row r="14" spans="5:17" s="42" customFormat="1" ht="18.75" customHeight="1" x14ac:dyDescent="0.2">
      <c r="E14" s="130" t="s">
        <v>65</v>
      </c>
      <c r="F14" s="131">
        <f ca="1">G14/G5</f>
        <v>0</v>
      </c>
      <c r="G14" s="132">
        <f ca="1">SUM(Q23:Q33)</f>
        <v>0</v>
      </c>
      <c r="H14" s="41"/>
      <c r="I14" s="45"/>
      <c r="J14" s="45"/>
      <c r="K14" s="46"/>
      <c r="L14" s="130" t="s">
        <v>52</v>
      </c>
      <c r="M14" s="147"/>
      <c r="N14" s="147"/>
      <c r="O14" s="148">
        <f ca="1">IF($O$5="JA",$Q$42,0)</f>
        <v>0</v>
      </c>
      <c r="P14" s="44"/>
      <c r="Q14" s="44"/>
    </row>
    <row r="15" spans="5:17" s="42" customFormat="1" ht="18.75" customHeight="1" x14ac:dyDescent="0.2">
      <c r="E15" s="133" t="s">
        <v>53</v>
      </c>
      <c r="F15" s="129"/>
      <c r="G15" s="134">
        <f ca="1">G14*0.19</f>
        <v>0</v>
      </c>
      <c r="H15" s="41"/>
      <c r="I15" s="45"/>
      <c r="J15" s="45"/>
      <c r="K15" s="46"/>
      <c r="L15" s="133" t="s">
        <v>53</v>
      </c>
      <c r="M15" s="121"/>
      <c r="N15" s="121"/>
      <c r="O15" s="149">
        <f ca="1">IF($O$5="JA",O14*0.19,0)</f>
        <v>0</v>
      </c>
      <c r="P15" s="44"/>
      <c r="Q15" s="44"/>
    </row>
    <row r="16" spans="5:17" s="42" customFormat="1" ht="18.75" customHeight="1" thickBot="1" x14ac:dyDescent="0.25">
      <c r="E16" s="135" t="s">
        <v>54</v>
      </c>
      <c r="F16" s="136"/>
      <c r="G16" s="137">
        <f ca="1">G14+G15</f>
        <v>0</v>
      </c>
      <c r="H16" s="41"/>
      <c r="I16" s="45"/>
      <c r="J16" s="45"/>
      <c r="K16" s="46"/>
      <c r="L16" s="135" t="s">
        <v>54</v>
      </c>
      <c r="M16" s="127"/>
      <c r="N16" s="127"/>
      <c r="O16" s="150">
        <f ca="1">IF(O14&lt;&gt;0,SUM(O14:O15),0)</f>
        <v>0</v>
      </c>
      <c r="P16" s="44"/>
      <c r="Q16" s="44"/>
    </row>
    <row r="17" spans="1:17" ht="6" customHeight="1" thickBot="1" x14ac:dyDescent="0.25">
      <c r="M17" s="1"/>
    </row>
    <row r="18" spans="1:17" ht="18" customHeight="1" thickBot="1" x14ac:dyDescent="0.25">
      <c r="A18" s="46"/>
      <c r="B18" s="46"/>
      <c r="C18" s="46"/>
      <c r="D18" s="46"/>
      <c r="E18" s="390" t="s">
        <v>63</v>
      </c>
      <c r="F18" s="391"/>
      <c r="G18" s="392"/>
      <c r="H18" s="47"/>
      <c r="I18" s="48"/>
      <c r="J18" s="48"/>
      <c r="K18" s="48"/>
      <c r="L18" s="393" t="s">
        <v>62</v>
      </c>
      <c r="M18" s="394"/>
      <c r="N18" s="394"/>
      <c r="O18" s="395"/>
      <c r="P18" s="49"/>
      <c r="Q18" s="49"/>
    </row>
    <row r="19" spans="1:17" ht="6" customHeight="1" thickBot="1" x14ac:dyDescent="0.25"/>
    <row r="20" spans="1:17" s="58" customFormat="1" x14ac:dyDescent="0.2">
      <c r="A20" s="50" t="s">
        <v>0</v>
      </c>
      <c r="B20" s="51" t="s">
        <v>40</v>
      </c>
      <c r="C20" s="51" t="s">
        <v>61</v>
      </c>
      <c r="D20" s="51" t="s">
        <v>41</v>
      </c>
      <c r="E20" s="52" t="s">
        <v>42</v>
      </c>
      <c r="F20" s="52" t="s">
        <v>24</v>
      </c>
      <c r="G20" s="53" t="s">
        <v>25</v>
      </c>
      <c r="H20" s="52" t="s">
        <v>1</v>
      </c>
      <c r="I20" s="396" t="s">
        <v>26</v>
      </c>
      <c r="J20" s="396"/>
      <c r="K20" s="396"/>
      <c r="L20" s="53" t="s">
        <v>33</v>
      </c>
      <c r="M20" s="54" t="s">
        <v>2</v>
      </c>
      <c r="N20" s="52" t="s">
        <v>15</v>
      </c>
      <c r="O20" s="55" t="s">
        <v>30</v>
      </c>
      <c r="P20" s="56" t="s">
        <v>13</v>
      </c>
      <c r="Q20" s="57" t="s">
        <v>31</v>
      </c>
    </row>
    <row r="21" spans="1:17" s="58" customFormat="1" ht="25.5" customHeight="1" thickBot="1" x14ac:dyDescent="0.25">
      <c r="A21" s="18"/>
      <c r="B21" s="19"/>
      <c r="C21" s="19"/>
      <c r="D21" s="19"/>
      <c r="E21" s="20" t="s">
        <v>43</v>
      </c>
      <c r="F21" s="20"/>
      <c r="G21" s="21" t="s">
        <v>32</v>
      </c>
      <c r="H21" s="20"/>
      <c r="I21" s="22" t="s">
        <v>27</v>
      </c>
      <c r="J21" s="22" t="s">
        <v>28</v>
      </c>
      <c r="K21" s="22" t="s">
        <v>29</v>
      </c>
      <c r="L21" s="21" t="s">
        <v>34</v>
      </c>
      <c r="M21" s="23" t="s">
        <v>35</v>
      </c>
      <c r="N21" s="20" t="s">
        <v>36</v>
      </c>
      <c r="O21" s="24" t="s">
        <v>37</v>
      </c>
      <c r="P21" s="25" t="s">
        <v>38</v>
      </c>
      <c r="Q21" s="26" t="s">
        <v>39</v>
      </c>
    </row>
    <row r="22" spans="1:17" ht="3.75" customHeight="1" x14ac:dyDescent="0.2">
      <c r="A22" s="68" t="s">
        <v>21</v>
      </c>
      <c r="B22" s="69" t="s">
        <v>21</v>
      </c>
      <c r="C22" s="69"/>
      <c r="D22" s="69" t="s">
        <v>21</v>
      </c>
      <c r="E22" s="69" t="s">
        <v>21</v>
      </c>
      <c r="F22" s="69" t="s">
        <v>21</v>
      </c>
      <c r="G22" s="70" t="s">
        <v>21</v>
      </c>
      <c r="H22" s="71" t="s">
        <v>21</v>
      </c>
      <c r="I22" s="72" t="s">
        <v>21</v>
      </c>
      <c r="J22" s="72" t="s">
        <v>21</v>
      </c>
      <c r="K22" s="72" t="s">
        <v>21</v>
      </c>
      <c r="L22" s="70" t="s">
        <v>21</v>
      </c>
      <c r="M22" s="73" t="s">
        <v>21</v>
      </c>
      <c r="N22" s="74" t="s">
        <v>21</v>
      </c>
      <c r="O22" s="75" t="s">
        <v>21</v>
      </c>
      <c r="P22" s="76" t="s">
        <v>21</v>
      </c>
      <c r="Q22" s="77" t="s">
        <v>21</v>
      </c>
    </row>
    <row r="23" spans="1:17" ht="24" customHeight="1" x14ac:dyDescent="0.2">
      <c r="A23" s="81"/>
      <c r="B23" s="82"/>
      <c r="C23" s="82"/>
      <c r="D23" s="82"/>
      <c r="E23" s="318" t="s">
        <v>492</v>
      </c>
      <c r="F23" s="82"/>
      <c r="G23" s="83"/>
      <c r="H23" s="245"/>
      <c r="I23" s="246"/>
      <c r="J23" s="246"/>
      <c r="K23" s="246"/>
      <c r="L23" s="83"/>
      <c r="M23" s="297"/>
      <c r="N23" s="84"/>
      <c r="O23" s="80"/>
      <c r="P23" s="298"/>
      <c r="Q23" s="85"/>
    </row>
    <row r="24" spans="1:17" ht="24" customHeight="1" x14ac:dyDescent="0.2">
      <c r="A24" s="81"/>
      <c r="B24" s="82"/>
      <c r="C24" s="82"/>
      <c r="D24" s="82"/>
      <c r="E24" s="412" t="s">
        <v>497</v>
      </c>
      <c r="F24" s="413"/>
      <c r="G24" s="414"/>
      <c r="H24" s="245"/>
      <c r="I24" s="246"/>
      <c r="J24" s="246">
        <v>1</v>
      </c>
      <c r="K24" s="246"/>
      <c r="L24" s="415" t="s">
        <v>491</v>
      </c>
      <c r="M24" s="416"/>
      <c r="N24" s="317">
        <v>4.1666666666666664E-2</v>
      </c>
      <c r="O24" s="80">
        <f ca="1">IF(P24&gt;0,(J24*12*N24*24),0)</f>
        <v>0</v>
      </c>
      <c r="P24" s="248">
        <f t="shared" ref="P24" ca="1" si="0">SVS_UR</f>
        <v>0</v>
      </c>
      <c r="Q24" s="85">
        <f t="shared" ref="Q24" ca="1" si="1">O24*P24</f>
        <v>0</v>
      </c>
    </row>
    <row r="25" spans="1:17" ht="24" customHeight="1" x14ac:dyDescent="0.2">
      <c r="A25" s="81">
        <v>1</v>
      </c>
      <c r="B25" s="82" t="s">
        <v>396</v>
      </c>
      <c r="C25" s="82"/>
      <c r="D25" s="82"/>
      <c r="E25" s="82" t="s">
        <v>399</v>
      </c>
      <c r="F25" s="82"/>
      <c r="G25" s="83"/>
      <c r="H25" s="304" t="s">
        <v>16</v>
      </c>
      <c r="I25" s="246"/>
      <c r="J25" s="246"/>
      <c r="K25" s="246"/>
      <c r="L25" s="83"/>
      <c r="M25" s="297"/>
      <c r="N25" s="84"/>
      <c r="O25" s="80"/>
      <c r="P25" s="298"/>
      <c r="Q25" s="85"/>
    </row>
    <row r="26" spans="1:17" ht="24" customHeight="1" x14ac:dyDescent="0.2">
      <c r="A26" s="81">
        <f>A25+1</f>
        <v>2</v>
      </c>
      <c r="B26" s="82" t="s">
        <v>396</v>
      </c>
      <c r="C26" s="82"/>
      <c r="D26" s="82"/>
      <c r="E26" s="82" t="s">
        <v>400</v>
      </c>
      <c r="F26" s="82"/>
      <c r="G26" s="83"/>
      <c r="H26" s="304" t="s">
        <v>16</v>
      </c>
      <c r="I26" s="246"/>
      <c r="J26" s="246"/>
      <c r="K26" s="246"/>
      <c r="L26" s="83"/>
      <c r="M26" s="297"/>
      <c r="N26" s="84"/>
      <c r="O26" s="80"/>
      <c r="P26" s="298"/>
      <c r="Q26" s="85"/>
    </row>
    <row r="27" spans="1:17" ht="24" customHeight="1" x14ac:dyDescent="0.2">
      <c r="A27" s="81">
        <f>A26+1</f>
        <v>3</v>
      </c>
      <c r="B27" s="82" t="s">
        <v>396</v>
      </c>
      <c r="C27" s="82"/>
      <c r="D27" s="82"/>
      <c r="E27" s="82" t="s">
        <v>401</v>
      </c>
      <c r="F27" s="82"/>
      <c r="G27" s="83"/>
      <c r="H27" s="304" t="s">
        <v>16</v>
      </c>
      <c r="I27" s="246"/>
      <c r="J27" s="246"/>
      <c r="K27" s="246"/>
      <c r="L27" s="83"/>
      <c r="M27" s="297"/>
      <c r="N27" s="84"/>
      <c r="O27" s="80"/>
      <c r="P27" s="298"/>
      <c r="Q27" s="85"/>
    </row>
    <row r="28" spans="1:17" ht="24" customHeight="1" x14ac:dyDescent="0.2">
      <c r="A28" s="81">
        <f t="shared" ref="A28:A32" si="2">A27+1</f>
        <v>4</v>
      </c>
      <c r="B28" s="82" t="s">
        <v>396</v>
      </c>
      <c r="C28" s="82"/>
      <c r="D28" s="82"/>
      <c r="E28" s="82" t="s">
        <v>402</v>
      </c>
      <c r="F28" s="82"/>
      <c r="G28" s="83"/>
      <c r="H28" s="304" t="s">
        <v>16</v>
      </c>
      <c r="I28" s="246"/>
      <c r="J28" s="246"/>
      <c r="K28" s="246"/>
      <c r="L28" s="83"/>
      <c r="M28" s="297"/>
      <c r="N28" s="84"/>
      <c r="O28" s="80"/>
      <c r="P28" s="298"/>
      <c r="Q28" s="85"/>
    </row>
    <row r="29" spans="1:17" ht="24" customHeight="1" x14ac:dyDescent="0.2">
      <c r="A29" s="81">
        <f t="shared" si="2"/>
        <v>5</v>
      </c>
      <c r="B29" s="82" t="s">
        <v>396</v>
      </c>
      <c r="C29" s="82"/>
      <c r="D29" s="82"/>
      <c r="E29" s="82" t="s">
        <v>403</v>
      </c>
      <c r="F29" s="82"/>
      <c r="G29" s="83">
        <v>6.9</v>
      </c>
      <c r="H29" s="245"/>
      <c r="I29" s="246"/>
      <c r="J29" s="246">
        <v>1</v>
      </c>
      <c r="K29" s="246"/>
      <c r="L29" s="83"/>
      <c r="M29" s="297"/>
      <c r="N29" s="84"/>
      <c r="O29" s="80"/>
      <c r="P29" s="298"/>
      <c r="Q29" s="85"/>
    </row>
    <row r="30" spans="1:17" ht="24" customHeight="1" x14ac:dyDescent="0.2">
      <c r="A30" s="81">
        <f t="shared" si="2"/>
        <v>6</v>
      </c>
      <c r="B30" s="82" t="s">
        <v>396</v>
      </c>
      <c r="C30" s="82"/>
      <c r="D30" s="82"/>
      <c r="E30" s="82" t="s">
        <v>404</v>
      </c>
      <c r="F30" s="82"/>
      <c r="G30" s="83">
        <v>13.89</v>
      </c>
      <c r="H30" s="245"/>
      <c r="I30" s="246"/>
      <c r="J30" s="246">
        <v>1</v>
      </c>
      <c r="K30" s="246"/>
      <c r="L30" s="83"/>
      <c r="M30" s="297"/>
      <c r="N30" s="84"/>
      <c r="O30" s="80"/>
      <c r="P30" s="298"/>
      <c r="Q30" s="85"/>
    </row>
    <row r="31" spans="1:17" ht="24" customHeight="1" x14ac:dyDescent="0.2">
      <c r="A31" s="81">
        <f t="shared" si="2"/>
        <v>7</v>
      </c>
      <c r="B31" s="82" t="s">
        <v>396</v>
      </c>
      <c r="C31" s="82"/>
      <c r="D31" s="82"/>
      <c r="E31" s="82" t="s">
        <v>405</v>
      </c>
      <c r="F31" s="82"/>
      <c r="G31" s="83">
        <v>66.64</v>
      </c>
      <c r="H31" s="245"/>
      <c r="I31" s="246"/>
      <c r="J31" s="246">
        <v>1</v>
      </c>
      <c r="K31" s="246"/>
      <c r="L31" s="83"/>
      <c r="M31" s="297"/>
      <c r="N31" s="84"/>
      <c r="O31" s="80"/>
      <c r="P31" s="298"/>
      <c r="Q31" s="85"/>
    </row>
    <row r="32" spans="1:17" ht="24" customHeight="1" x14ac:dyDescent="0.2">
      <c r="A32" s="81">
        <f t="shared" si="2"/>
        <v>8</v>
      </c>
      <c r="B32" s="82" t="s">
        <v>396</v>
      </c>
      <c r="C32" s="82"/>
      <c r="D32" s="82"/>
      <c r="E32" s="82" t="s">
        <v>406</v>
      </c>
      <c r="F32" s="82"/>
      <c r="G32" s="83"/>
      <c r="H32" s="304" t="s">
        <v>16</v>
      </c>
      <c r="I32" s="246"/>
      <c r="J32" s="246"/>
      <c r="K32" s="246"/>
      <c r="L32" s="83"/>
      <c r="M32" s="297"/>
      <c r="N32" s="84"/>
      <c r="O32" s="80"/>
      <c r="P32" s="298"/>
      <c r="Q32" s="85"/>
    </row>
    <row r="33" spans="1:17" ht="3.75" customHeight="1" thickBot="1" x14ac:dyDescent="0.25">
      <c r="A33" s="86"/>
      <c r="B33" s="87"/>
      <c r="C33" s="87"/>
      <c r="D33" s="87"/>
      <c r="E33" s="87"/>
      <c r="F33" s="87"/>
      <c r="G33" s="88"/>
      <c r="H33" s="89"/>
      <c r="I33" s="90"/>
      <c r="J33" s="90"/>
      <c r="K33" s="90"/>
      <c r="L33" s="88"/>
      <c r="M33" s="91"/>
      <c r="N33" s="87"/>
      <c r="O33" s="92"/>
      <c r="P33" s="93"/>
      <c r="Q33" s="94"/>
    </row>
    <row r="34" spans="1:17" s="46" customFormat="1" ht="25.5" customHeight="1" thickBot="1" x14ac:dyDescent="0.25">
      <c r="A34" s="40" t="s">
        <v>47</v>
      </c>
      <c r="B34" s="95"/>
      <c r="C34" s="95"/>
      <c r="D34" s="95"/>
      <c r="E34" s="95"/>
      <c r="F34" s="96"/>
      <c r="G34" s="97">
        <f>SUBTOTAL(9,G23:G33)</f>
        <v>87.43</v>
      </c>
      <c r="H34" s="98"/>
      <c r="I34" s="99"/>
      <c r="J34" s="99"/>
      <c r="K34" s="99"/>
      <c r="L34" s="97">
        <f>SUBTOTAL(9,L23:L33)</f>
        <v>0</v>
      </c>
      <c r="M34" s="100" t="e">
        <f ca="1">L34/O34</f>
        <v>#DIV/0!</v>
      </c>
      <c r="N34" s="95"/>
      <c r="O34" s="101">
        <f ca="1">SUBTOTAL(9,O23:O33)</f>
        <v>0</v>
      </c>
      <c r="P34" s="102"/>
      <c r="Q34" s="220">
        <f ca="1">SUBTOTAL(9,Q23:Q33)</f>
        <v>0</v>
      </c>
    </row>
    <row r="36" spans="1:17" ht="13.5" thickBot="1" x14ac:dyDescent="0.25"/>
    <row r="37" spans="1:17" s="58" customFormat="1" x14ac:dyDescent="0.2">
      <c r="A37" s="50" t="s">
        <v>0</v>
      </c>
      <c r="B37" s="51" t="s">
        <v>40</v>
      </c>
      <c r="C37" s="51"/>
      <c r="D37" s="51" t="s">
        <v>41</v>
      </c>
      <c r="E37" s="52" t="s">
        <v>42</v>
      </c>
      <c r="F37" s="52" t="s">
        <v>24</v>
      </c>
      <c r="G37" s="53" t="s">
        <v>25</v>
      </c>
      <c r="H37" s="52" t="s">
        <v>1</v>
      </c>
      <c r="I37" s="396" t="s">
        <v>26</v>
      </c>
      <c r="J37" s="396"/>
      <c r="K37" s="396"/>
      <c r="L37" s="53" t="s">
        <v>33</v>
      </c>
      <c r="M37" s="54" t="s">
        <v>2</v>
      </c>
      <c r="N37" s="52" t="s">
        <v>15</v>
      </c>
      <c r="O37" s="55" t="s">
        <v>30</v>
      </c>
      <c r="P37" s="56" t="s">
        <v>13</v>
      </c>
      <c r="Q37" s="57" t="s">
        <v>31</v>
      </c>
    </row>
    <row r="38" spans="1:17" s="58" customFormat="1" ht="25.5" customHeight="1" thickBot="1" x14ac:dyDescent="0.25">
      <c r="A38" s="59"/>
      <c r="B38" s="60"/>
      <c r="C38" s="60"/>
      <c r="D38" s="60"/>
      <c r="E38" s="61" t="s">
        <v>43</v>
      </c>
      <c r="F38" s="61"/>
      <c r="G38" s="62" t="s">
        <v>32</v>
      </c>
      <c r="H38" s="61"/>
      <c r="I38" s="63" t="s">
        <v>27</v>
      </c>
      <c r="J38" s="63" t="s">
        <v>28</v>
      </c>
      <c r="K38" s="63" t="s">
        <v>29</v>
      </c>
      <c r="L38" s="62" t="s">
        <v>34</v>
      </c>
      <c r="M38" s="64" t="s">
        <v>35</v>
      </c>
      <c r="N38" s="61" t="s">
        <v>36</v>
      </c>
      <c r="O38" s="65" t="s">
        <v>37</v>
      </c>
      <c r="P38" s="66" t="s">
        <v>38</v>
      </c>
      <c r="Q38" s="67" t="s">
        <v>39</v>
      </c>
    </row>
    <row r="39" spans="1:17" ht="3.75" customHeight="1" x14ac:dyDescent="0.2">
      <c r="A39" s="68" t="s">
        <v>21</v>
      </c>
      <c r="B39" s="69" t="s">
        <v>21</v>
      </c>
      <c r="C39" s="69"/>
      <c r="D39" s="69" t="s">
        <v>21</v>
      </c>
      <c r="E39" s="69" t="s">
        <v>21</v>
      </c>
      <c r="F39" s="69" t="s">
        <v>21</v>
      </c>
      <c r="G39" s="70" t="s">
        <v>21</v>
      </c>
      <c r="H39" s="71" t="s">
        <v>21</v>
      </c>
      <c r="I39" s="72" t="s">
        <v>21</v>
      </c>
      <c r="J39" s="72" t="s">
        <v>21</v>
      </c>
      <c r="K39" s="72" t="s">
        <v>21</v>
      </c>
      <c r="L39" s="70" t="s">
        <v>21</v>
      </c>
      <c r="M39" s="73" t="s">
        <v>21</v>
      </c>
      <c r="N39" s="74" t="s">
        <v>21</v>
      </c>
      <c r="O39" s="75" t="s">
        <v>21</v>
      </c>
      <c r="P39" s="76" t="s">
        <v>21</v>
      </c>
      <c r="Q39" s="77" t="s">
        <v>21</v>
      </c>
    </row>
    <row r="40" spans="1:17" ht="24" customHeight="1" x14ac:dyDescent="0.2">
      <c r="A40" s="81">
        <f>A32+1</f>
        <v>9</v>
      </c>
      <c r="B40" s="82"/>
      <c r="C40" s="82"/>
      <c r="D40" s="82"/>
      <c r="E40" s="303" t="s">
        <v>598</v>
      </c>
      <c r="F40" s="82"/>
      <c r="G40" s="83">
        <f>IF($O$5="JA",SUM(G23:G33),0)</f>
        <v>87.43</v>
      </c>
      <c r="H40" s="302" t="s">
        <v>398</v>
      </c>
      <c r="I40" s="79">
        <f>VLOOKUP($H40,Leistungswerte!$A$8:$E$54,3,FALSE)</f>
        <v>0</v>
      </c>
      <c r="J40" s="79">
        <f>VLOOKUP($H40,Leistungswerte!$A$8:$E$54,4,FALSE)</f>
        <v>0</v>
      </c>
      <c r="K40" s="79">
        <f>VLOOKUP($H40,Leistungswerte!$A$8:$E$54,5,FALSE)</f>
        <v>1</v>
      </c>
      <c r="L40" s="415" t="s">
        <v>503</v>
      </c>
      <c r="M40" s="416"/>
      <c r="N40" s="317">
        <f>N24*2</f>
        <v>8.3333333333333329E-2</v>
      </c>
      <c r="O40" s="80">
        <f ca="1">IF(P40&gt;0,K40*N40*24,0)</f>
        <v>0</v>
      </c>
      <c r="P40" s="162">
        <f ca="1">SVS_GR</f>
        <v>0</v>
      </c>
      <c r="Q40" s="85">
        <f ca="1">O40*P40</f>
        <v>0</v>
      </c>
    </row>
    <row r="41" spans="1:17" ht="3.75" customHeight="1" thickBot="1" x14ac:dyDescent="0.25">
      <c r="A41" s="103"/>
      <c r="B41" s="104"/>
      <c r="C41" s="104"/>
      <c r="D41" s="104"/>
      <c r="E41" s="104"/>
      <c r="F41" s="104"/>
      <c r="G41" s="105"/>
      <c r="H41" s="106"/>
      <c r="I41" s="107"/>
      <c r="J41" s="107"/>
      <c r="K41" s="107"/>
      <c r="L41" s="105"/>
      <c r="M41" s="108"/>
      <c r="N41" s="104"/>
      <c r="O41" s="109"/>
      <c r="P41" s="110"/>
      <c r="Q41" s="111"/>
    </row>
    <row r="42" spans="1:17" s="46" customFormat="1" ht="25.5" customHeight="1" thickBot="1" x14ac:dyDescent="0.25">
      <c r="A42" s="40" t="s">
        <v>58</v>
      </c>
      <c r="B42" s="95"/>
      <c r="C42" s="95"/>
      <c r="D42" s="95"/>
      <c r="E42" s="95"/>
      <c r="F42" s="96"/>
      <c r="G42" s="97">
        <f>SUM(G40:G41)</f>
        <v>87.43</v>
      </c>
      <c r="H42" s="98"/>
      <c r="I42" s="99"/>
      <c r="J42" s="99"/>
      <c r="K42" s="99"/>
      <c r="L42" s="97">
        <f>SUM(L40:L41)</f>
        <v>0</v>
      </c>
      <c r="M42" s="100" t="e">
        <f ca="1">L42/O42</f>
        <v>#DIV/0!</v>
      </c>
      <c r="N42" s="95"/>
      <c r="O42" s="101">
        <f ca="1">SUM(O40:O41)</f>
        <v>0</v>
      </c>
      <c r="P42" s="102"/>
      <c r="Q42" s="220">
        <f ca="1">SUM(Q40:Q41)</f>
        <v>0</v>
      </c>
    </row>
    <row r="44" spans="1:17" ht="13.5" thickBot="1" x14ac:dyDescent="0.25"/>
    <row r="45" spans="1:17" ht="18" customHeight="1" thickBot="1" x14ac:dyDescent="0.25">
      <c r="E45" s="397" t="s">
        <v>155</v>
      </c>
      <c r="F45" s="398"/>
      <c r="G45" s="398"/>
      <c r="H45" s="398"/>
      <c r="I45" s="398"/>
      <c r="J45" s="398"/>
      <c r="K45" s="398"/>
      <c r="L45" s="398"/>
      <c r="M45" s="398"/>
      <c r="N45" s="398"/>
      <c r="O45" s="399"/>
    </row>
    <row r="46" spans="1:17" ht="18" customHeight="1" x14ac:dyDescent="0.2">
      <c r="E46" s="277" t="s">
        <v>225</v>
      </c>
      <c r="F46" s="400" t="s">
        <v>394</v>
      </c>
      <c r="G46" s="400"/>
      <c r="H46" s="400"/>
      <c r="I46" s="400"/>
      <c r="J46" s="400"/>
      <c r="K46" s="400"/>
      <c r="L46" s="400"/>
      <c r="M46" s="400"/>
      <c r="N46" s="400"/>
      <c r="O46" s="401"/>
    </row>
    <row r="47" spans="1:17" ht="18" customHeight="1" x14ac:dyDescent="0.2">
      <c r="E47" s="275" t="s">
        <v>226</v>
      </c>
      <c r="F47" s="388" t="s">
        <v>443</v>
      </c>
      <c r="G47" s="388"/>
      <c r="H47" s="388"/>
      <c r="I47" s="388"/>
      <c r="J47" s="388"/>
      <c r="K47" s="388"/>
      <c r="L47" s="388"/>
      <c r="M47" s="388"/>
      <c r="N47" s="388"/>
      <c r="O47" s="389"/>
    </row>
    <row r="48" spans="1:17" ht="18" customHeight="1" x14ac:dyDescent="0.2">
      <c r="E48" s="275" t="s">
        <v>227</v>
      </c>
      <c r="F48" s="388" t="s">
        <v>501</v>
      </c>
      <c r="G48" s="388"/>
      <c r="H48" s="388"/>
      <c r="I48" s="388"/>
      <c r="J48" s="388"/>
      <c r="K48" s="388"/>
      <c r="L48" s="388"/>
      <c r="M48" s="388"/>
      <c r="N48" s="388"/>
      <c r="O48" s="389"/>
    </row>
    <row r="49" spans="5:15" ht="18" customHeight="1" thickBot="1" x14ac:dyDescent="0.25">
      <c r="E49" s="276" t="s">
        <v>228</v>
      </c>
      <c r="F49" s="402" t="s">
        <v>475</v>
      </c>
      <c r="G49" s="402"/>
      <c r="H49" s="402"/>
      <c r="I49" s="402"/>
      <c r="J49" s="402"/>
      <c r="K49" s="402"/>
      <c r="L49" s="402"/>
      <c r="M49" s="402"/>
      <c r="N49" s="402"/>
      <c r="O49" s="403"/>
    </row>
  </sheetData>
  <sheetProtection algorithmName="SHA-512" hashValue="t0QhytbfIPOJ53RjOscAiooIteShuqDHa87K1rmWLjRs2Nvkex8XBO05PFXdb3x5YU8hvqD90gSvOCzZBCMfYw==" saltValue="k1mOavHbCqREtv88Cnx+9A==" spinCount="100000" sheet="1" autoFilter="0"/>
  <autoFilter ref="A21:Q32" xr:uid="{00000000-0009-0000-0000-000012000000}"/>
  <mergeCells count="12">
    <mergeCell ref="F48:O48"/>
    <mergeCell ref="F49:O49"/>
    <mergeCell ref="F47:O47"/>
    <mergeCell ref="E18:G18"/>
    <mergeCell ref="L18:O18"/>
    <mergeCell ref="I20:K20"/>
    <mergeCell ref="I37:K37"/>
    <mergeCell ref="E45:O45"/>
    <mergeCell ref="F46:O46"/>
    <mergeCell ref="E24:G24"/>
    <mergeCell ref="L24:M24"/>
    <mergeCell ref="L40:M40"/>
  </mergeCells>
  <conditionalFormatting sqref="I23:K32">
    <cfRule type="cellIs" dxfId="4" priority="1" stopIfTrue="1" operator="equal">
      <formula>0</formula>
    </cfRule>
  </conditionalFormatting>
  <conditionalFormatting sqref="O7:O16 I40:K40">
    <cfRule type="cellIs" dxfId="3" priority="10" stopIfTrue="1" operator="equal">
      <formula>0</formula>
    </cfRule>
  </conditionalFormatting>
  <hyperlinks>
    <hyperlink ref="E18:G18" location="Angebotsübersicht!A1" display="Zur Angebotsübersicht" xr:uid="{00000000-0004-0000-1200-000000000000}"/>
    <hyperlink ref="L18:O18" location="Leistungswerte!A1" display="Zu den Leistungswerten" xr:uid="{00000000-0004-0000-1200-000001000000}"/>
  </hyperlinks>
  <printOptions horizontalCentered="1"/>
  <pageMargins left="0.55118110236220474" right="0.35433070866141736" top="0.31496062992125984" bottom="0.51181102362204722" header="0.19685039370078741" footer="0.31496062992125984"/>
  <pageSetup paperSize="9" scale="67" fitToHeight="0" orientation="landscape" r:id="rId1"/>
  <headerFooter alignWithMargins="0">
    <oddFooter>&amp;L&amp;8Ausschreibung Unterhaltsreinigung
&amp;A&amp;R&amp;8© Lean Consulting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9"/>
  <sheetViews>
    <sheetView zoomScale="85" zoomScaleNormal="85" workbookViewId="0">
      <selection activeCell="D10" sqref="D10"/>
    </sheetView>
  </sheetViews>
  <sheetFormatPr baseColWidth="10" defaultRowHeight="12.75" x14ac:dyDescent="0.2"/>
  <cols>
    <col min="1" max="1" width="7.7109375" customWidth="1"/>
    <col min="2" max="2" width="57" customWidth="1"/>
    <col min="3" max="4" width="15" customWidth="1"/>
    <col min="5" max="5" width="14.42578125" customWidth="1"/>
    <col min="6" max="6" width="15" customWidth="1"/>
  </cols>
  <sheetData>
    <row r="1" spans="1:6" ht="26.25" x14ac:dyDescent="0.4">
      <c r="A1" s="1"/>
      <c r="B1" s="1"/>
      <c r="C1" s="282" t="s">
        <v>251</v>
      </c>
      <c r="D1" s="282"/>
      <c r="E1" s="1"/>
      <c r="F1" s="1"/>
    </row>
    <row r="2" spans="1:6" ht="20.25" x14ac:dyDescent="0.3">
      <c r="A2" s="1"/>
      <c r="B2" s="1"/>
      <c r="C2" s="283" t="s">
        <v>500</v>
      </c>
      <c r="D2" s="283"/>
      <c r="E2" s="1"/>
      <c r="F2" s="1"/>
    </row>
    <row r="3" spans="1:6" x14ac:dyDescent="0.2">
      <c r="A3" s="165"/>
      <c r="B3" s="165"/>
      <c r="C3" s="165"/>
      <c r="D3" s="165"/>
      <c r="E3" s="165"/>
      <c r="F3" s="165"/>
    </row>
    <row r="4" spans="1:6" ht="15" thickBot="1" x14ac:dyDescent="0.25">
      <c r="A4" s="1"/>
      <c r="B4" s="1"/>
      <c r="C4" s="1"/>
      <c r="D4" s="1"/>
      <c r="E4" s="1"/>
      <c r="F4" s="153"/>
    </row>
    <row r="5" spans="1:6" ht="15.75" thickBot="1" x14ac:dyDescent="0.3">
      <c r="A5" s="249" t="s">
        <v>223</v>
      </c>
      <c r="B5" s="1"/>
      <c r="C5" s="1"/>
      <c r="D5" s="365" t="str">
        <f>IF(Bieter&lt;&gt;"",Bieter,"Bietername fehlt !")</f>
        <v>Bietername fehlt !</v>
      </c>
      <c r="E5" s="366"/>
      <c r="F5" s="367"/>
    </row>
    <row r="6" spans="1:6" ht="13.5" thickBot="1" x14ac:dyDescent="0.25">
      <c r="A6" s="1"/>
      <c r="B6" s="1"/>
      <c r="C6" s="1"/>
      <c r="D6" s="1"/>
      <c r="E6" s="1"/>
      <c r="F6" s="1"/>
    </row>
    <row r="7" spans="1:6" s="13" customFormat="1" ht="25.15" customHeight="1" thickBot="1" x14ac:dyDescent="0.25">
      <c r="A7" s="356" t="s">
        <v>183</v>
      </c>
      <c r="B7" s="357"/>
      <c r="C7" s="357"/>
      <c r="D7" s="357"/>
      <c r="E7" s="357"/>
      <c r="F7" s="358"/>
    </row>
    <row r="8" spans="1:6" ht="13.5" thickBot="1" x14ac:dyDescent="0.25"/>
    <row r="9" spans="1:6" s="13" customFormat="1" ht="30" customHeight="1" thickBot="1" x14ac:dyDescent="0.25">
      <c r="A9" s="16" t="s">
        <v>0</v>
      </c>
      <c r="B9" s="17" t="s">
        <v>163</v>
      </c>
      <c r="C9" s="114" t="s">
        <v>174</v>
      </c>
      <c r="D9" s="114" t="s">
        <v>5</v>
      </c>
      <c r="E9" s="114" t="s">
        <v>66</v>
      </c>
      <c r="F9" s="115" t="s">
        <v>6</v>
      </c>
    </row>
    <row r="10" spans="1:6" ht="32.1" customHeight="1" thickTop="1" x14ac:dyDescent="0.2">
      <c r="A10" s="12" t="s">
        <v>164</v>
      </c>
      <c r="B10" s="166" t="s">
        <v>184</v>
      </c>
      <c r="C10" s="222">
        <v>0</v>
      </c>
      <c r="D10" s="229">
        <f ca="1">SVS_UR</f>
        <v>0</v>
      </c>
      <c r="E10" s="230">
        <f t="shared" ref="E10:E21" ca="1" si="0">D10*0.19</f>
        <v>0</v>
      </c>
      <c r="F10" s="231">
        <f t="shared" ref="F10:F21" ca="1" si="1">D10+E10</f>
        <v>0</v>
      </c>
    </row>
    <row r="11" spans="1:6" ht="32.1" customHeight="1" x14ac:dyDescent="0.2">
      <c r="A11" s="12" t="s">
        <v>165</v>
      </c>
      <c r="B11" s="166" t="s">
        <v>185</v>
      </c>
      <c r="C11" s="223">
        <v>0</v>
      </c>
      <c r="D11" s="232">
        <f ca="1">$D$10*(1+C11)</f>
        <v>0</v>
      </c>
      <c r="E11" s="230">
        <f t="shared" ca="1" si="0"/>
        <v>0</v>
      </c>
      <c r="F11" s="231">
        <f t="shared" ca="1" si="1"/>
        <v>0</v>
      </c>
    </row>
    <row r="12" spans="1:6" ht="32.1" customHeight="1" x14ac:dyDescent="0.2">
      <c r="A12" s="12" t="s">
        <v>166</v>
      </c>
      <c r="B12" s="288" t="s">
        <v>233</v>
      </c>
      <c r="C12" s="223">
        <v>0</v>
      </c>
      <c r="D12" s="232">
        <f ca="1">$D$10*(1+C12)</f>
        <v>0</v>
      </c>
      <c r="E12" s="230">
        <f t="shared" ca="1" si="0"/>
        <v>0</v>
      </c>
      <c r="F12" s="231">
        <f t="shared" ca="1" si="1"/>
        <v>0</v>
      </c>
    </row>
    <row r="13" spans="1:6" ht="32.1" customHeight="1" thickBot="1" x14ac:dyDescent="0.25">
      <c r="A13" s="12" t="s">
        <v>167</v>
      </c>
      <c r="B13" s="288" t="s">
        <v>234</v>
      </c>
      <c r="C13" s="223">
        <v>0</v>
      </c>
      <c r="D13" s="232">
        <f ca="1">$D$10*(1+C13)</f>
        <v>0</v>
      </c>
      <c r="E13" s="230">
        <f t="shared" ca="1" si="0"/>
        <v>0</v>
      </c>
      <c r="F13" s="231">
        <f t="shared" ca="1" si="1"/>
        <v>0</v>
      </c>
    </row>
    <row r="14" spans="1:6" ht="32.1" customHeight="1" thickTop="1" x14ac:dyDescent="0.2">
      <c r="A14" s="226" t="s">
        <v>168</v>
      </c>
      <c r="B14" s="227" t="s">
        <v>186</v>
      </c>
      <c r="C14" s="228">
        <v>0</v>
      </c>
      <c r="D14" s="233">
        <f ca="1">SVS_GR</f>
        <v>0</v>
      </c>
      <c r="E14" s="234">
        <f t="shared" ca="1" si="0"/>
        <v>0</v>
      </c>
      <c r="F14" s="235">
        <f t="shared" ca="1" si="1"/>
        <v>0</v>
      </c>
    </row>
    <row r="15" spans="1:6" ht="32.1" customHeight="1" x14ac:dyDescent="0.2">
      <c r="A15" s="12" t="s">
        <v>169</v>
      </c>
      <c r="B15" s="166" t="s">
        <v>187</v>
      </c>
      <c r="C15" s="223">
        <v>0</v>
      </c>
      <c r="D15" s="232">
        <f ca="1">$D$14*(1+C15)</f>
        <v>0</v>
      </c>
      <c r="E15" s="230">
        <f t="shared" ca="1" si="0"/>
        <v>0</v>
      </c>
      <c r="F15" s="231">
        <f t="shared" ca="1" si="1"/>
        <v>0</v>
      </c>
    </row>
    <row r="16" spans="1:6" ht="32.1" customHeight="1" x14ac:dyDescent="0.2">
      <c r="A16" s="12" t="s">
        <v>170</v>
      </c>
      <c r="B16" s="288" t="s">
        <v>235</v>
      </c>
      <c r="C16" s="223">
        <v>0</v>
      </c>
      <c r="D16" s="232">
        <f ca="1">$D$14*(1+C16)</f>
        <v>0</v>
      </c>
      <c r="E16" s="230">
        <f t="shared" ca="1" si="0"/>
        <v>0</v>
      </c>
      <c r="F16" s="231">
        <f t="shared" ca="1" si="1"/>
        <v>0</v>
      </c>
    </row>
    <row r="17" spans="1:6" ht="32.1" customHeight="1" thickBot="1" x14ac:dyDescent="0.25">
      <c r="A17" s="12" t="s">
        <v>171</v>
      </c>
      <c r="B17" s="288" t="s">
        <v>236</v>
      </c>
      <c r="C17" s="223">
        <v>0</v>
      </c>
      <c r="D17" s="232">
        <f ca="1">$D$14*(1+C17)</f>
        <v>0</v>
      </c>
      <c r="E17" s="230">
        <f t="shared" ca="1" si="0"/>
        <v>0</v>
      </c>
      <c r="F17" s="231">
        <f t="shared" ca="1" si="1"/>
        <v>0</v>
      </c>
    </row>
    <row r="18" spans="1:6" ht="32.1" customHeight="1" thickTop="1" x14ac:dyDescent="0.2">
      <c r="A18" s="226" t="s">
        <v>172</v>
      </c>
      <c r="B18" s="227" t="s">
        <v>188</v>
      </c>
      <c r="C18" s="228">
        <v>0</v>
      </c>
      <c r="D18" s="233">
        <f ca="1">SVS_GR</f>
        <v>0</v>
      </c>
      <c r="E18" s="234">
        <f t="shared" ca="1" si="0"/>
        <v>0</v>
      </c>
      <c r="F18" s="235">
        <f t="shared" ca="1" si="1"/>
        <v>0</v>
      </c>
    </row>
    <row r="19" spans="1:6" ht="32.1" customHeight="1" x14ac:dyDescent="0.2">
      <c r="A19" s="12" t="s">
        <v>173</v>
      </c>
      <c r="B19" s="166" t="s">
        <v>189</v>
      </c>
      <c r="C19" s="223">
        <v>0</v>
      </c>
      <c r="D19" s="232">
        <f ca="1">$D$18*(1+C19)</f>
        <v>0</v>
      </c>
      <c r="E19" s="230">
        <f t="shared" ca="1" si="0"/>
        <v>0</v>
      </c>
      <c r="F19" s="231">
        <f t="shared" ca="1" si="1"/>
        <v>0</v>
      </c>
    </row>
    <row r="20" spans="1:6" ht="32.1" customHeight="1" x14ac:dyDescent="0.2">
      <c r="A20" s="12" t="s">
        <v>158</v>
      </c>
      <c r="B20" s="288" t="s">
        <v>237</v>
      </c>
      <c r="C20" s="223">
        <v>0</v>
      </c>
      <c r="D20" s="232">
        <f ca="1">$D$18*(1+C20)</f>
        <v>0</v>
      </c>
      <c r="E20" s="230">
        <f t="shared" ca="1" si="0"/>
        <v>0</v>
      </c>
      <c r="F20" s="231">
        <f t="shared" ca="1" si="1"/>
        <v>0</v>
      </c>
    </row>
    <row r="21" spans="1:6" ht="32.1" customHeight="1" thickBot="1" x14ac:dyDescent="0.25">
      <c r="A21" s="224" t="s">
        <v>175</v>
      </c>
      <c r="B21" s="289" t="s">
        <v>238</v>
      </c>
      <c r="C21" s="225">
        <v>0</v>
      </c>
      <c r="D21" s="236">
        <f ca="1">$D$18*(1+C21)</f>
        <v>0</v>
      </c>
      <c r="E21" s="237">
        <f t="shared" ca="1" si="0"/>
        <v>0</v>
      </c>
      <c r="F21" s="238">
        <f t="shared" ca="1" si="1"/>
        <v>0</v>
      </c>
    </row>
    <row r="22" spans="1:6" x14ac:dyDescent="0.2">
      <c r="A22" s="1"/>
      <c r="B22" s="1"/>
      <c r="C22" s="1"/>
      <c r="D22" s="1"/>
      <c r="E22" s="1"/>
      <c r="F22" s="1"/>
    </row>
    <row r="23" spans="1:6" ht="13.5" thickBot="1" x14ac:dyDescent="0.25"/>
    <row r="24" spans="1:6" ht="26.45" customHeight="1" thickBot="1" x14ac:dyDescent="0.25">
      <c r="A24" s="1"/>
      <c r="B24" s="286">
        <f>Angebotsübersicht!B79</f>
        <v>0</v>
      </c>
      <c r="D24" s="368">
        <f>Angebotsübersicht!E79</f>
        <v>0</v>
      </c>
      <c r="E24" s="369"/>
      <c r="F24" s="370"/>
    </row>
    <row r="25" spans="1:6" ht="14.25" x14ac:dyDescent="0.2">
      <c r="A25" s="1"/>
      <c r="B25" s="190" t="s">
        <v>221</v>
      </c>
      <c r="D25" s="191" t="s">
        <v>222</v>
      </c>
      <c r="E25" s="191"/>
    </row>
    <row r="29" spans="1:6" x14ac:dyDescent="0.2">
      <c r="B29" s="281"/>
    </row>
  </sheetData>
  <sheetProtection algorithmName="SHA-512" hashValue="3bHsKZIKXugoFq8458gW5E2dUCJtBleB6LYeeci7GmNJvpFRro3AUk7gfaFpDzz/K9tfnbpl2eV7KaIi6yqGuA==" saltValue="xXEhxDl+ZyifEtAzP/Pzmw==" spinCount="100000" sheet="1" objects="1" scenarios="1"/>
  <mergeCells count="3">
    <mergeCell ref="D5:F5"/>
    <mergeCell ref="A7:F7"/>
    <mergeCell ref="D24:F24"/>
  </mergeCells>
  <phoneticPr fontId="5" type="noConversion"/>
  <conditionalFormatting sqref="B24">
    <cfRule type="cellIs" dxfId="31" priority="2" operator="lessThan">
      <formula>366</formula>
    </cfRule>
  </conditionalFormatting>
  <conditionalFormatting sqref="D24:F24">
    <cfRule type="cellIs" dxfId="30" priority="1" operator="equal">
      <formula>0</formula>
    </cfRule>
  </conditionalFormatting>
  <printOptions horizontalCentered="1"/>
  <pageMargins left="0.55118110236220474" right="0.37" top="0.32" bottom="0.70866141732283472" header="0.2" footer="0.51181102362204722"/>
  <pageSetup paperSize="9" scale="77" orientation="portrait" r:id="rId1"/>
  <headerFooter alignWithMargins="0">
    <oddFooter>&amp;L&amp;8Ausschreibung Unterhaltsreinigung
&amp;A&amp;R&amp;8© Lean Consulting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6" tint="0.59999389629810485"/>
    <pageSetUpPr fitToPage="1"/>
  </sheetPr>
  <dimension ref="A1:Q44"/>
  <sheetViews>
    <sheetView zoomScale="90" zoomScaleNormal="90" workbookViewId="0"/>
  </sheetViews>
  <sheetFormatPr baseColWidth="10" defaultColWidth="11.42578125" defaultRowHeight="12.75" x14ac:dyDescent="0.2"/>
  <cols>
    <col min="1" max="1" width="5.140625" style="1" customWidth="1"/>
    <col min="2" max="2" width="6.5703125" style="1" customWidth="1"/>
    <col min="3" max="3" width="10.85546875" style="1" customWidth="1"/>
    <col min="4" max="4" width="7.140625" style="1" customWidth="1"/>
    <col min="5" max="5" width="38.7109375" style="1" customWidth="1"/>
    <col min="6" max="6" width="17.42578125" style="1" customWidth="1"/>
    <col min="7" max="7" width="16.5703125" style="27" bestFit="1" customWidth="1"/>
    <col min="8" max="8" width="7.140625" style="28" customWidth="1"/>
    <col min="9" max="11" width="6.85546875" style="29" customWidth="1"/>
    <col min="12" max="12" width="17.140625" style="27" customWidth="1"/>
    <col min="13" max="13" width="12.85546875" style="30" customWidth="1"/>
    <col min="14" max="14" width="11.42578125" style="1"/>
    <col min="15" max="15" width="18.5703125" style="31" customWidth="1"/>
    <col min="16" max="16" width="11.42578125" style="32"/>
    <col min="17" max="17" width="14.28515625" style="32" customWidth="1"/>
    <col min="18" max="16384" width="11.42578125" style="1"/>
  </cols>
  <sheetData>
    <row r="1" spans="5:17" ht="13.5" thickBot="1" x14ac:dyDescent="0.25"/>
    <row r="2" spans="5:17" s="39" customFormat="1" ht="25.5" customHeight="1" thickBot="1" x14ac:dyDescent="0.25">
      <c r="E2" s="33"/>
      <c r="F2" s="34"/>
      <c r="G2" s="35" t="str">
        <f>IF(Bieter&lt;&gt;"",Bieter,"Bietername fehlt !")</f>
        <v>Bietername fehlt !</v>
      </c>
      <c r="H2" s="164"/>
      <c r="I2" s="36"/>
      <c r="J2" s="36"/>
      <c r="K2" s="36"/>
      <c r="L2" s="33"/>
      <c r="M2" s="34"/>
      <c r="N2" s="37"/>
      <c r="O2" s="35" t="s">
        <v>265</v>
      </c>
      <c r="P2" s="152">
        <v>6</v>
      </c>
      <c r="Q2" s="38"/>
    </row>
    <row r="3" spans="5:17" ht="13.5" thickBot="1" x14ac:dyDescent="0.25"/>
    <row r="4" spans="5:17" s="42" customFormat="1" ht="25.5" customHeight="1" thickBot="1" x14ac:dyDescent="0.25">
      <c r="E4" s="116" t="s">
        <v>55</v>
      </c>
      <c r="F4" s="118"/>
      <c r="G4" s="119"/>
      <c r="H4" s="41"/>
      <c r="K4" s="43"/>
      <c r="L4" s="117" t="s">
        <v>56</v>
      </c>
      <c r="M4" s="138"/>
      <c r="N4" s="138"/>
      <c r="O4" s="139"/>
      <c r="P4" s="44"/>
      <c r="Q4" s="44"/>
    </row>
    <row r="5" spans="5:17" s="42" customFormat="1" ht="18.75" customHeight="1" x14ac:dyDescent="0.2">
      <c r="E5" s="120" t="s">
        <v>45</v>
      </c>
      <c r="F5" s="121"/>
      <c r="G5" s="122">
        <v>12</v>
      </c>
      <c r="H5" s="41"/>
      <c r="I5" s="45"/>
      <c r="L5" s="120" t="s">
        <v>60</v>
      </c>
      <c r="M5" s="121"/>
      <c r="N5" s="140"/>
      <c r="O5" s="141" t="s">
        <v>69</v>
      </c>
      <c r="P5" s="44"/>
      <c r="Q5" s="44"/>
    </row>
    <row r="6" spans="5:17" s="42" customFormat="1" ht="18.75" customHeight="1" x14ac:dyDescent="0.2">
      <c r="E6" s="120" t="s">
        <v>495</v>
      </c>
      <c r="F6" s="121"/>
      <c r="G6" s="122">
        <v>1</v>
      </c>
      <c r="H6" s="41"/>
      <c r="I6" s="45"/>
      <c r="L6" s="120"/>
      <c r="M6" s="121"/>
      <c r="N6" s="140"/>
      <c r="O6" s="142"/>
      <c r="P6" s="44"/>
      <c r="Q6" s="44"/>
    </row>
    <row r="7" spans="5:17" s="42" customFormat="1" ht="18.75" customHeight="1" x14ac:dyDescent="0.2">
      <c r="E7" s="120" t="s">
        <v>44</v>
      </c>
      <c r="F7" s="121"/>
      <c r="G7" s="123">
        <f>SUM($G$23:$G$28)</f>
        <v>1.9</v>
      </c>
      <c r="H7" s="41"/>
      <c r="I7" s="45"/>
      <c r="J7" s="45"/>
      <c r="L7" s="120" t="s">
        <v>44</v>
      </c>
      <c r="M7" s="121"/>
      <c r="N7" s="121"/>
      <c r="O7" s="143">
        <f>IF($O$5="JA",$G$37,0)</f>
        <v>1.9</v>
      </c>
      <c r="P7" s="44"/>
      <c r="Q7" s="44"/>
    </row>
    <row r="8" spans="5:17" s="42" customFormat="1" ht="18.75" customHeight="1" x14ac:dyDescent="0.2">
      <c r="E8" s="120" t="s">
        <v>48</v>
      </c>
      <c r="F8" s="121"/>
      <c r="G8" s="123">
        <f>G7*G5</f>
        <v>22.799999999999997</v>
      </c>
      <c r="H8" s="41"/>
      <c r="I8" s="45"/>
      <c r="J8" s="45"/>
      <c r="L8" s="120" t="s">
        <v>48</v>
      </c>
      <c r="M8" s="121"/>
      <c r="N8" s="121"/>
      <c r="O8" s="143">
        <f>IF($O$5="JA",$L$37,0)</f>
        <v>0</v>
      </c>
      <c r="P8" s="44"/>
      <c r="Q8" s="44"/>
    </row>
    <row r="9" spans="5:17" s="42" customFormat="1" ht="18.75" customHeight="1" x14ac:dyDescent="0.2">
      <c r="E9" s="120" t="s">
        <v>49</v>
      </c>
      <c r="F9" s="121"/>
      <c r="G9" s="124">
        <f ca="1">SUM($O$23:$O$28)</f>
        <v>0</v>
      </c>
      <c r="H9" s="41"/>
      <c r="I9" s="45"/>
      <c r="J9" s="45"/>
      <c r="L9" s="120" t="s">
        <v>49</v>
      </c>
      <c r="M9" s="121"/>
      <c r="N9" s="121"/>
      <c r="O9" s="124">
        <f ca="1">IF($O$5="JA",$O$37,0)</f>
        <v>0</v>
      </c>
      <c r="P9" s="44"/>
      <c r="Q9" s="44"/>
    </row>
    <row r="10" spans="5:17" s="42" customFormat="1" ht="18.75" customHeight="1" x14ac:dyDescent="0.2">
      <c r="E10" s="120" t="s">
        <v>51</v>
      </c>
      <c r="F10" s="121"/>
      <c r="G10" s="124">
        <f ca="1">G9/G5</f>
        <v>0</v>
      </c>
      <c r="H10" s="41"/>
      <c r="I10" s="45"/>
      <c r="J10" s="45"/>
      <c r="L10" s="120"/>
      <c r="M10" s="121"/>
      <c r="N10" s="121"/>
      <c r="O10" s="144"/>
      <c r="P10" s="44"/>
      <c r="Q10" s="44"/>
    </row>
    <row r="11" spans="5:17" s="42" customFormat="1" ht="18.75" customHeight="1" x14ac:dyDescent="0.2">
      <c r="E11" s="120"/>
      <c r="F11" s="121"/>
      <c r="G11" s="125"/>
      <c r="H11" s="41"/>
      <c r="I11" s="45"/>
      <c r="J11" s="45"/>
      <c r="L11" s="120" t="s">
        <v>50</v>
      </c>
      <c r="M11" s="121"/>
      <c r="N11" s="121"/>
      <c r="O11" s="125" t="e">
        <f ca="1">IF($O$5="JA",$O$8/$O$9,0)</f>
        <v>#DIV/0!</v>
      </c>
      <c r="P11" s="44"/>
      <c r="Q11" s="44"/>
    </row>
    <row r="12" spans="5:17" s="42" customFormat="1" ht="18.75" customHeight="1" thickBot="1" x14ac:dyDescent="0.25">
      <c r="E12" s="126" t="s">
        <v>57</v>
      </c>
      <c r="F12" s="127"/>
      <c r="G12" s="128">
        <f ca="1">IF(G9&gt;0,G14/G9,0)</f>
        <v>0</v>
      </c>
      <c r="H12" s="41"/>
      <c r="I12" s="45"/>
      <c r="J12" s="45"/>
      <c r="L12" s="126" t="s">
        <v>57</v>
      </c>
      <c r="M12" s="127"/>
      <c r="N12" s="127"/>
      <c r="O12" s="145" t="e">
        <f ca="1">IF($O$5="JA",$O$14/$O$9,0)</f>
        <v>#DIV/0!</v>
      </c>
      <c r="P12" s="44"/>
      <c r="Q12" s="44"/>
    </row>
    <row r="13" spans="5:17" s="42" customFormat="1" ht="6.75" customHeight="1" thickBot="1" x14ac:dyDescent="0.25">
      <c r="E13" s="121"/>
      <c r="F13" s="121"/>
      <c r="G13" s="129"/>
      <c r="H13" s="41"/>
      <c r="I13" s="45"/>
      <c r="J13" s="45"/>
      <c r="L13" s="121"/>
      <c r="M13" s="121"/>
      <c r="N13" s="121"/>
      <c r="O13" s="146"/>
      <c r="P13" s="44"/>
      <c r="Q13" s="44"/>
    </row>
    <row r="14" spans="5:17" s="42" customFormat="1" ht="18.75" customHeight="1" x14ac:dyDescent="0.2">
      <c r="E14" s="130" t="s">
        <v>65</v>
      </c>
      <c r="F14" s="131">
        <f ca="1">G14/G5</f>
        <v>0</v>
      </c>
      <c r="G14" s="132">
        <f ca="1">SUM(Q23:Q28)</f>
        <v>0</v>
      </c>
      <c r="H14" s="41"/>
      <c r="I14" s="45"/>
      <c r="J14" s="45"/>
      <c r="K14" s="46"/>
      <c r="L14" s="130" t="s">
        <v>52</v>
      </c>
      <c r="M14" s="147"/>
      <c r="N14" s="147"/>
      <c r="O14" s="148">
        <f ca="1">IF($O$5="JA",$Q$37,0)</f>
        <v>0</v>
      </c>
      <c r="P14" s="44"/>
      <c r="Q14" s="44"/>
    </row>
    <row r="15" spans="5:17" s="42" customFormat="1" ht="18.75" customHeight="1" x14ac:dyDescent="0.2">
      <c r="E15" s="133" t="s">
        <v>53</v>
      </c>
      <c r="F15" s="129"/>
      <c r="G15" s="134">
        <f ca="1">G14*0.19</f>
        <v>0</v>
      </c>
      <c r="H15" s="41"/>
      <c r="I15" s="45"/>
      <c r="J15" s="45"/>
      <c r="K15" s="46"/>
      <c r="L15" s="133" t="s">
        <v>53</v>
      </c>
      <c r="M15" s="121"/>
      <c r="N15" s="121"/>
      <c r="O15" s="149">
        <f ca="1">IF($O$5="JA",O14*0.19,0)</f>
        <v>0</v>
      </c>
      <c r="P15" s="44"/>
      <c r="Q15" s="44"/>
    </row>
    <row r="16" spans="5:17" s="42" customFormat="1" ht="18.75" customHeight="1" thickBot="1" x14ac:dyDescent="0.25">
      <c r="E16" s="135" t="s">
        <v>54</v>
      </c>
      <c r="F16" s="136"/>
      <c r="G16" s="137">
        <f ca="1">G14+G15</f>
        <v>0</v>
      </c>
      <c r="H16" s="41"/>
      <c r="I16" s="45"/>
      <c r="J16" s="45"/>
      <c r="K16" s="46"/>
      <c r="L16" s="135" t="s">
        <v>54</v>
      </c>
      <c r="M16" s="127"/>
      <c r="N16" s="127"/>
      <c r="O16" s="150">
        <f ca="1">IF(O14&lt;&gt;0,SUM(O14:O15),0)</f>
        <v>0</v>
      </c>
      <c r="P16" s="44"/>
      <c r="Q16" s="44"/>
    </row>
    <row r="17" spans="1:17" ht="6" customHeight="1" thickBot="1" x14ac:dyDescent="0.25">
      <c r="M17" s="1"/>
    </row>
    <row r="18" spans="1:17" ht="18" customHeight="1" thickBot="1" x14ac:dyDescent="0.25">
      <c r="A18" s="46"/>
      <c r="B18" s="46"/>
      <c r="C18" s="46"/>
      <c r="D18" s="46"/>
      <c r="E18" s="390" t="s">
        <v>63</v>
      </c>
      <c r="F18" s="391"/>
      <c r="G18" s="392"/>
      <c r="H18" s="47"/>
      <c r="I18" s="48"/>
      <c r="J18" s="48"/>
      <c r="K18" s="48"/>
      <c r="L18" s="393" t="s">
        <v>62</v>
      </c>
      <c r="M18" s="394"/>
      <c r="N18" s="394"/>
      <c r="O18" s="395"/>
      <c r="P18" s="49"/>
      <c r="Q18" s="49"/>
    </row>
    <row r="19" spans="1:17" ht="6" customHeight="1" thickBot="1" x14ac:dyDescent="0.25"/>
    <row r="20" spans="1:17" s="58" customFormat="1" x14ac:dyDescent="0.2">
      <c r="A20" s="50" t="s">
        <v>0</v>
      </c>
      <c r="B20" s="51" t="s">
        <v>40</v>
      </c>
      <c r="C20" s="51" t="s">
        <v>61</v>
      </c>
      <c r="D20" s="51" t="s">
        <v>41</v>
      </c>
      <c r="E20" s="52" t="s">
        <v>42</v>
      </c>
      <c r="F20" s="52" t="s">
        <v>24</v>
      </c>
      <c r="G20" s="53" t="s">
        <v>25</v>
      </c>
      <c r="H20" s="52" t="s">
        <v>1</v>
      </c>
      <c r="I20" s="396" t="s">
        <v>26</v>
      </c>
      <c r="J20" s="396"/>
      <c r="K20" s="396"/>
      <c r="L20" s="53" t="s">
        <v>33</v>
      </c>
      <c r="M20" s="54" t="s">
        <v>2</v>
      </c>
      <c r="N20" s="52" t="s">
        <v>15</v>
      </c>
      <c r="O20" s="55" t="s">
        <v>30</v>
      </c>
      <c r="P20" s="56" t="s">
        <v>13</v>
      </c>
      <c r="Q20" s="57" t="s">
        <v>31</v>
      </c>
    </row>
    <row r="21" spans="1:17" s="58" customFormat="1" ht="25.5" customHeight="1" thickBot="1" x14ac:dyDescent="0.25">
      <c r="A21" s="18"/>
      <c r="B21" s="19"/>
      <c r="C21" s="19"/>
      <c r="D21" s="19"/>
      <c r="E21" s="20" t="s">
        <v>43</v>
      </c>
      <c r="F21" s="20"/>
      <c r="G21" s="21" t="s">
        <v>32</v>
      </c>
      <c r="H21" s="20"/>
      <c r="I21" s="22" t="s">
        <v>27</v>
      </c>
      <c r="J21" s="22" t="s">
        <v>28</v>
      </c>
      <c r="K21" s="22" t="s">
        <v>29</v>
      </c>
      <c r="L21" s="21" t="s">
        <v>34</v>
      </c>
      <c r="M21" s="23" t="s">
        <v>35</v>
      </c>
      <c r="N21" s="20" t="s">
        <v>36</v>
      </c>
      <c r="O21" s="24" t="s">
        <v>37</v>
      </c>
      <c r="P21" s="25" t="s">
        <v>38</v>
      </c>
      <c r="Q21" s="26" t="s">
        <v>39</v>
      </c>
    </row>
    <row r="22" spans="1:17" ht="3.75" customHeight="1" x14ac:dyDescent="0.2">
      <c r="A22" s="68" t="s">
        <v>21</v>
      </c>
      <c r="B22" s="69" t="s">
        <v>21</v>
      </c>
      <c r="C22" s="69"/>
      <c r="D22" s="69" t="s">
        <v>21</v>
      </c>
      <c r="E22" s="69" t="s">
        <v>21</v>
      </c>
      <c r="F22" s="69" t="s">
        <v>21</v>
      </c>
      <c r="G22" s="70" t="s">
        <v>21</v>
      </c>
      <c r="H22" s="71" t="s">
        <v>21</v>
      </c>
      <c r="I22" s="72" t="s">
        <v>21</v>
      </c>
      <c r="J22" s="72" t="s">
        <v>21</v>
      </c>
      <c r="K22" s="72" t="s">
        <v>21</v>
      </c>
      <c r="L22" s="70" t="s">
        <v>21</v>
      </c>
      <c r="M22" s="73" t="s">
        <v>21</v>
      </c>
      <c r="N22" s="74" t="s">
        <v>21</v>
      </c>
      <c r="O22" s="75" t="s">
        <v>21</v>
      </c>
      <c r="P22" s="76" t="s">
        <v>21</v>
      </c>
      <c r="Q22" s="77" t="s">
        <v>21</v>
      </c>
    </row>
    <row r="23" spans="1:17" ht="24" customHeight="1" x14ac:dyDescent="0.2">
      <c r="A23" s="81"/>
      <c r="B23" s="82"/>
      <c r="C23" s="82"/>
      <c r="D23" s="82"/>
      <c r="E23" s="318" t="s">
        <v>492</v>
      </c>
      <c r="F23" s="82"/>
      <c r="G23" s="83"/>
      <c r="H23" s="245"/>
      <c r="I23" s="246"/>
      <c r="J23" s="246"/>
      <c r="K23" s="246"/>
      <c r="L23" s="83"/>
      <c r="M23" s="297"/>
      <c r="N23" s="84"/>
      <c r="O23" s="80"/>
      <c r="P23" s="298"/>
      <c r="Q23" s="85"/>
    </row>
    <row r="24" spans="1:17" ht="24" customHeight="1" x14ac:dyDescent="0.2">
      <c r="A24" s="81"/>
      <c r="B24" s="82"/>
      <c r="C24" s="82"/>
      <c r="D24" s="82"/>
      <c r="E24" s="412" t="s">
        <v>496</v>
      </c>
      <c r="F24" s="413"/>
      <c r="G24" s="414"/>
      <c r="H24" s="245"/>
      <c r="I24" s="246"/>
      <c r="J24" s="246">
        <v>1</v>
      </c>
      <c r="K24" s="246"/>
      <c r="L24" s="415" t="s">
        <v>491</v>
      </c>
      <c r="M24" s="416"/>
      <c r="N24" s="317">
        <v>3.125E-2</v>
      </c>
      <c r="O24" s="80">
        <f ca="1">IF(P24&gt;0,(J24*12*N24*24),0)</f>
        <v>0</v>
      </c>
      <c r="P24" s="248">
        <f t="shared" ref="P24" ca="1" si="0">SVS_UR</f>
        <v>0</v>
      </c>
      <c r="Q24" s="85">
        <f t="shared" ref="Q24" ca="1" si="1">O24*P24</f>
        <v>0</v>
      </c>
    </row>
    <row r="25" spans="1:17" ht="24" customHeight="1" x14ac:dyDescent="0.2">
      <c r="A25" s="81">
        <v>1</v>
      </c>
      <c r="B25" s="82" t="s">
        <v>396</v>
      </c>
      <c r="C25" s="82"/>
      <c r="D25" s="82"/>
      <c r="E25" s="303" t="s">
        <v>397</v>
      </c>
      <c r="F25" s="82"/>
      <c r="G25" s="83"/>
      <c r="H25" s="304" t="s">
        <v>16</v>
      </c>
      <c r="I25" s="246"/>
      <c r="J25" s="246"/>
      <c r="K25" s="246"/>
      <c r="L25" s="83"/>
      <c r="M25" s="297"/>
      <c r="N25" s="84"/>
      <c r="O25" s="80"/>
      <c r="P25" s="298"/>
      <c r="Q25" s="85"/>
    </row>
    <row r="26" spans="1:17" ht="24" customHeight="1" x14ac:dyDescent="0.2">
      <c r="A26" s="81">
        <f>A25+1</f>
        <v>2</v>
      </c>
      <c r="B26" s="82" t="s">
        <v>396</v>
      </c>
      <c r="C26" s="82"/>
      <c r="D26" s="82"/>
      <c r="E26" s="82" t="s">
        <v>286</v>
      </c>
      <c r="F26" s="82"/>
      <c r="G26" s="83">
        <v>1.9</v>
      </c>
      <c r="H26" s="245"/>
      <c r="I26" s="246"/>
      <c r="J26" s="246">
        <v>1</v>
      </c>
      <c r="K26" s="246"/>
      <c r="L26" s="83"/>
      <c r="M26" s="297"/>
      <c r="N26" s="84"/>
      <c r="O26" s="80"/>
      <c r="P26" s="298"/>
      <c r="Q26" s="85"/>
    </row>
    <row r="27" spans="1:17" ht="24" customHeight="1" x14ac:dyDescent="0.2">
      <c r="A27" s="81">
        <f t="shared" ref="A27" si="2">A26+1</f>
        <v>3</v>
      </c>
      <c r="B27" s="82" t="s">
        <v>396</v>
      </c>
      <c r="C27" s="82"/>
      <c r="D27" s="82"/>
      <c r="E27" s="82" t="s">
        <v>268</v>
      </c>
      <c r="F27" s="82"/>
      <c r="G27" s="83"/>
      <c r="H27" s="304" t="s">
        <v>16</v>
      </c>
      <c r="I27" s="246"/>
      <c r="J27" s="246"/>
      <c r="K27" s="246"/>
      <c r="L27" s="83"/>
      <c r="M27" s="297"/>
      <c r="N27" s="84"/>
      <c r="O27" s="80"/>
      <c r="P27" s="298"/>
      <c r="Q27" s="85"/>
    </row>
    <row r="28" spans="1:17" ht="3.75" customHeight="1" thickBot="1" x14ac:dyDescent="0.25">
      <c r="A28" s="86"/>
      <c r="B28" s="87"/>
      <c r="C28" s="87"/>
      <c r="D28" s="87"/>
      <c r="E28" s="87"/>
      <c r="F28" s="87"/>
      <c r="G28" s="88"/>
      <c r="H28" s="89"/>
      <c r="I28" s="90"/>
      <c r="J28" s="90"/>
      <c r="K28" s="90"/>
      <c r="L28" s="88"/>
      <c r="M28" s="91"/>
      <c r="N28" s="87"/>
      <c r="O28" s="92"/>
      <c r="P28" s="93"/>
      <c r="Q28" s="94"/>
    </row>
    <row r="29" spans="1:17" s="46" customFormat="1" ht="25.5" customHeight="1" thickBot="1" x14ac:dyDescent="0.25">
      <c r="A29" s="40" t="s">
        <v>47</v>
      </c>
      <c r="B29" s="95"/>
      <c r="C29" s="95"/>
      <c r="D29" s="95"/>
      <c r="E29" s="95"/>
      <c r="F29" s="96"/>
      <c r="G29" s="97">
        <f>SUBTOTAL(9,G23:G28)</f>
        <v>1.9</v>
      </c>
      <c r="H29" s="98"/>
      <c r="I29" s="99"/>
      <c r="J29" s="99"/>
      <c r="K29" s="99"/>
      <c r="L29" s="97">
        <f>SUBTOTAL(9,L23:L28)</f>
        <v>0</v>
      </c>
      <c r="M29" s="100" t="e">
        <f ca="1">L29/O29</f>
        <v>#DIV/0!</v>
      </c>
      <c r="N29" s="95"/>
      <c r="O29" s="101">
        <f ca="1">SUBTOTAL(9,O23:O28)</f>
        <v>0</v>
      </c>
      <c r="P29" s="102"/>
      <c r="Q29" s="220">
        <f ca="1">SUBTOTAL(9,Q23:Q28)</f>
        <v>0</v>
      </c>
    </row>
    <row r="31" spans="1:17" ht="13.5" thickBot="1" x14ac:dyDescent="0.25"/>
    <row r="32" spans="1:17" s="58" customFormat="1" x14ac:dyDescent="0.2">
      <c r="A32" s="50" t="s">
        <v>0</v>
      </c>
      <c r="B32" s="51" t="s">
        <v>40</v>
      </c>
      <c r="C32" s="51"/>
      <c r="D32" s="51" t="s">
        <v>41</v>
      </c>
      <c r="E32" s="52" t="s">
        <v>42</v>
      </c>
      <c r="F32" s="52" t="s">
        <v>24</v>
      </c>
      <c r="G32" s="53" t="s">
        <v>25</v>
      </c>
      <c r="H32" s="52" t="s">
        <v>1</v>
      </c>
      <c r="I32" s="396" t="s">
        <v>26</v>
      </c>
      <c r="J32" s="396"/>
      <c r="K32" s="396"/>
      <c r="L32" s="53" t="s">
        <v>33</v>
      </c>
      <c r="M32" s="54" t="s">
        <v>2</v>
      </c>
      <c r="N32" s="52" t="s">
        <v>15</v>
      </c>
      <c r="O32" s="55" t="s">
        <v>30</v>
      </c>
      <c r="P32" s="56" t="s">
        <v>13</v>
      </c>
      <c r="Q32" s="57" t="s">
        <v>31</v>
      </c>
    </row>
    <row r="33" spans="1:17" s="58" customFormat="1" ht="25.5" customHeight="1" thickBot="1" x14ac:dyDescent="0.25">
      <c r="A33" s="59"/>
      <c r="B33" s="60"/>
      <c r="C33" s="60"/>
      <c r="D33" s="60"/>
      <c r="E33" s="61" t="s">
        <v>43</v>
      </c>
      <c r="F33" s="61"/>
      <c r="G33" s="62" t="s">
        <v>32</v>
      </c>
      <c r="H33" s="61"/>
      <c r="I33" s="63" t="s">
        <v>27</v>
      </c>
      <c r="J33" s="63" t="s">
        <v>28</v>
      </c>
      <c r="K33" s="63" t="s">
        <v>29</v>
      </c>
      <c r="L33" s="62" t="s">
        <v>34</v>
      </c>
      <c r="M33" s="64" t="s">
        <v>35</v>
      </c>
      <c r="N33" s="61" t="s">
        <v>36</v>
      </c>
      <c r="O33" s="65" t="s">
        <v>37</v>
      </c>
      <c r="P33" s="66" t="s">
        <v>38</v>
      </c>
      <c r="Q33" s="67" t="s">
        <v>39</v>
      </c>
    </row>
    <row r="34" spans="1:17" ht="3.75" customHeight="1" x14ac:dyDescent="0.2">
      <c r="A34" s="68" t="s">
        <v>21</v>
      </c>
      <c r="B34" s="69" t="s">
        <v>21</v>
      </c>
      <c r="C34" s="69"/>
      <c r="D34" s="69" t="s">
        <v>21</v>
      </c>
      <c r="E34" s="69" t="s">
        <v>21</v>
      </c>
      <c r="F34" s="69" t="s">
        <v>21</v>
      </c>
      <c r="G34" s="70" t="s">
        <v>21</v>
      </c>
      <c r="H34" s="71" t="s">
        <v>21</v>
      </c>
      <c r="I34" s="72" t="s">
        <v>21</v>
      </c>
      <c r="J34" s="72" t="s">
        <v>21</v>
      </c>
      <c r="K34" s="72" t="s">
        <v>21</v>
      </c>
      <c r="L34" s="70" t="s">
        <v>21</v>
      </c>
      <c r="M34" s="73" t="s">
        <v>21</v>
      </c>
      <c r="N34" s="74" t="s">
        <v>21</v>
      </c>
      <c r="O34" s="75" t="s">
        <v>21</v>
      </c>
      <c r="P34" s="76" t="s">
        <v>21</v>
      </c>
      <c r="Q34" s="77" t="s">
        <v>21</v>
      </c>
    </row>
    <row r="35" spans="1:17" ht="24" customHeight="1" x14ac:dyDescent="0.2">
      <c r="A35" s="81">
        <f>A27+1</f>
        <v>4</v>
      </c>
      <c r="B35" s="82"/>
      <c r="C35" s="82"/>
      <c r="D35" s="82"/>
      <c r="E35" s="303" t="s">
        <v>598</v>
      </c>
      <c r="F35" s="82"/>
      <c r="G35" s="83">
        <f>IF($O$5="JA",SUM(G23:G28),0)</f>
        <v>1.9</v>
      </c>
      <c r="H35" s="302" t="s">
        <v>398</v>
      </c>
      <c r="I35" s="79">
        <f>VLOOKUP($H35,Leistungswerte!$A$8:$E$54,3,FALSE)</f>
        <v>0</v>
      </c>
      <c r="J35" s="79">
        <f>VLOOKUP($H35,Leistungswerte!$A$8:$E$54,4,FALSE)</f>
        <v>0</v>
      </c>
      <c r="K35" s="79">
        <f>VLOOKUP($H35,Leistungswerte!$A$8:$E$54,5,FALSE)</f>
        <v>1</v>
      </c>
      <c r="L35" s="415" t="s">
        <v>503</v>
      </c>
      <c r="M35" s="416"/>
      <c r="N35" s="317">
        <f>N24*2</f>
        <v>6.25E-2</v>
      </c>
      <c r="O35" s="80">
        <f ca="1">IF(P35&gt;0,K35*N35*24,0)</f>
        <v>0</v>
      </c>
      <c r="P35" s="162">
        <f ca="1">SVS_GR</f>
        <v>0</v>
      </c>
      <c r="Q35" s="85">
        <f ca="1">O35*P35</f>
        <v>0</v>
      </c>
    </row>
    <row r="36" spans="1:17" ht="3.75" customHeight="1" thickBot="1" x14ac:dyDescent="0.25">
      <c r="A36" s="103"/>
      <c r="B36" s="104"/>
      <c r="C36" s="104"/>
      <c r="D36" s="104"/>
      <c r="E36" s="104"/>
      <c r="F36" s="104"/>
      <c r="G36" s="105"/>
      <c r="H36" s="106"/>
      <c r="I36" s="107"/>
      <c r="J36" s="107"/>
      <c r="K36" s="107"/>
      <c r="L36" s="105"/>
      <c r="M36" s="108"/>
      <c r="N36" s="104"/>
      <c r="O36" s="109"/>
      <c r="P36" s="110"/>
      <c r="Q36" s="111"/>
    </row>
    <row r="37" spans="1:17" s="46" customFormat="1" ht="25.5" customHeight="1" thickBot="1" x14ac:dyDescent="0.25">
      <c r="A37" s="40" t="s">
        <v>58</v>
      </c>
      <c r="B37" s="95"/>
      <c r="C37" s="95"/>
      <c r="D37" s="95"/>
      <c r="E37" s="95"/>
      <c r="F37" s="96"/>
      <c r="G37" s="97">
        <f>SUM(G35:G36)</f>
        <v>1.9</v>
      </c>
      <c r="H37" s="98"/>
      <c r="I37" s="99"/>
      <c r="J37" s="99"/>
      <c r="K37" s="99"/>
      <c r="L37" s="97">
        <f>SUM(L35:L36)</f>
        <v>0</v>
      </c>
      <c r="M37" s="100" t="e">
        <f ca="1">L37/O37</f>
        <v>#DIV/0!</v>
      </c>
      <c r="N37" s="95"/>
      <c r="O37" s="101">
        <f ca="1">SUM(O35:O36)</f>
        <v>0</v>
      </c>
      <c r="P37" s="102"/>
      <c r="Q37" s="220">
        <f ca="1">SUM(Q35:Q36)</f>
        <v>0</v>
      </c>
    </row>
    <row r="39" spans="1:17" ht="13.5" thickBot="1" x14ac:dyDescent="0.25"/>
    <row r="40" spans="1:17" ht="18" customHeight="1" thickBot="1" x14ac:dyDescent="0.25">
      <c r="E40" s="397" t="s">
        <v>155</v>
      </c>
      <c r="F40" s="398"/>
      <c r="G40" s="398"/>
      <c r="H40" s="398"/>
      <c r="I40" s="398"/>
      <c r="J40" s="398"/>
      <c r="K40" s="398"/>
      <c r="L40" s="398"/>
      <c r="M40" s="398"/>
      <c r="N40" s="398"/>
      <c r="O40" s="399"/>
    </row>
    <row r="41" spans="1:17" ht="18" customHeight="1" x14ac:dyDescent="0.2">
      <c r="E41" s="277" t="s">
        <v>225</v>
      </c>
      <c r="F41" s="400" t="s">
        <v>395</v>
      </c>
      <c r="G41" s="400"/>
      <c r="H41" s="400"/>
      <c r="I41" s="400"/>
      <c r="J41" s="400"/>
      <c r="K41" s="400"/>
      <c r="L41" s="400"/>
      <c r="M41" s="400"/>
      <c r="N41" s="400"/>
      <c r="O41" s="401"/>
    </row>
    <row r="42" spans="1:17" ht="18" customHeight="1" x14ac:dyDescent="0.2">
      <c r="E42" s="275" t="s">
        <v>226</v>
      </c>
      <c r="F42" s="388" t="s">
        <v>443</v>
      </c>
      <c r="G42" s="388"/>
      <c r="H42" s="388"/>
      <c r="I42" s="388"/>
      <c r="J42" s="388"/>
      <c r="K42" s="388"/>
      <c r="L42" s="388"/>
      <c r="M42" s="388"/>
      <c r="N42" s="388"/>
      <c r="O42" s="389"/>
    </row>
    <row r="43" spans="1:17" ht="18" customHeight="1" x14ac:dyDescent="0.2">
      <c r="E43" s="275" t="s">
        <v>227</v>
      </c>
      <c r="F43" s="388" t="s">
        <v>501</v>
      </c>
      <c r="G43" s="388"/>
      <c r="H43" s="388"/>
      <c r="I43" s="388"/>
      <c r="J43" s="388"/>
      <c r="K43" s="388"/>
      <c r="L43" s="388"/>
      <c r="M43" s="388"/>
      <c r="N43" s="388"/>
      <c r="O43" s="389"/>
    </row>
    <row r="44" spans="1:17" ht="18" customHeight="1" thickBot="1" x14ac:dyDescent="0.25">
      <c r="E44" s="276" t="s">
        <v>228</v>
      </c>
      <c r="F44" s="402" t="s">
        <v>475</v>
      </c>
      <c r="G44" s="402"/>
      <c r="H44" s="402"/>
      <c r="I44" s="402"/>
      <c r="J44" s="402"/>
      <c r="K44" s="402"/>
      <c r="L44" s="402"/>
      <c r="M44" s="402"/>
      <c r="N44" s="402"/>
      <c r="O44" s="403"/>
    </row>
  </sheetData>
  <sheetProtection algorithmName="SHA-512" hashValue="gfhurCCtoF1wf9pwcNC7W/L4SxwAYRQDLUIRhrb53K/pnGL/DbwEiQATQdxFXkRzG51bEoi3JXvyL5Slm77ADA==" saltValue="oKdG0KrQZZVYpD8vgQl3Kg==" spinCount="100000" sheet="1" autoFilter="0"/>
  <autoFilter ref="A21:Q27" xr:uid="{00000000-0009-0000-0000-000013000000}"/>
  <mergeCells count="12">
    <mergeCell ref="F43:O43"/>
    <mergeCell ref="F44:O44"/>
    <mergeCell ref="F42:O42"/>
    <mergeCell ref="E18:G18"/>
    <mergeCell ref="L18:O18"/>
    <mergeCell ref="I20:K20"/>
    <mergeCell ref="I32:K32"/>
    <mergeCell ref="E40:O40"/>
    <mergeCell ref="F41:O41"/>
    <mergeCell ref="E24:G24"/>
    <mergeCell ref="L24:M24"/>
    <mergeCell ref="L35:M35"/>
  </mergeCells>
  <conditionalFormatting sqref="I23:K27">
    <cfRule type="cellIs" dxfId="2" priority="1" stopIfTrue="1" operator="equal">
      <formula>0</formula>
    </cfRule>
  </conditionalFormatting>
  <conditionalFormatting sqref="O7:O16 I35:K35">
    <cfRule type="cellIs" dxfId="1" priority="9" stopIfTrue="1" operator="equal">
      <formula>0</formula>
    </cfRule>
  </conditionalFormatting>
  <hyperlinks>
    <hyperlink ref="E18:G18" location="Angebotsübersicht!A1" display="Zur Angebotsübersicht" xr:uid="{00000000-0004-0000-1300-000000000000}"/>
    <hyperlink ref="L18:O18" location="Leistungswerte!A1" display="Zu den Leistungswerten" xr:uid="{00000000-0004-0000-1300-000001000000}"/>
  </hyperlinks>
  <printOptions horizontalCentered="1"/>
  <pageMargins left="0.55118110236220474" right="0.35433070866141736" top="0.31496062992125984" bottom="0.51181102362204722" header="0.19685039370078741" footer="0.31496062992125984"/>
  <pageSetup paperSize="9" scale="67" fitToHeight="0" orientation="landscape" r:id="rId1"/>
  <headerFooter alignWithMargins="0">
    <oddFooter>&amp;L&amp;8Ausschreibung Unterhaltsreinigung
&amp;A&amp;R&amp;8© Lean Consulting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6" tint="0.59999389629810485"/>
    <pageSetUpPr fitToPage="1"/>
  </sheetPr>
  <dimension ref="A1:Q58"/>
  <sheetViews>
    <sheetView zoomScale="90" zoomScaleNormal="90" workbookViewId="0"/>
  </sheetViews>
  <sheetFormatPr baseColWidth="10" defaultColWidth="11.42578125" defaultRowHeight="12.75" x14ac:dyDescent="0.2"/>
  <cols>
    <col min="1" max="1" width="5.140625" style="1" customWidth="1"/>
    <col min="2" max="2" width="6.5703125" style="1" customWidth="1"/>
    <col min="3" max="3" width="10.85546875" style="1" customWidth="1"/>
    <col min="4" max="4" width="7.140625" style="1" customWidth="1"/>
    <col min="5" max="5" width="38.7109375" style="1" customWidth="1"/>
    <col min="6" max="6" width="18.85546875" style="1" customWidth="1"/>
    <col min="7" max="7" width="16.5703125" style="27" bestFit="1" customWidth="1"/>
    <col min="8" max="8" width="7.140625" style="28" customWidth="1"/>
    <col min="9" max="11" width="6.85546875" style="29" customWidth="1"/>
    <col min="12" max="12" width="17.140625" style="27" customWidth="1"/>
    <col min="13" max="13" width="12.85546875" style="30" customWidth="1"/>
    <col min="14" max="14" width="11.42578125" style="1"/>
    <col min="15" max="15" width="18.5703125" style="31" customWidth="1"/>
    <col min="16" max="16" width="11.42578125" style="32"/>
    <col min="17" max="17" width="14.28515625" style="32" customWidth="1"/>
    <col min="18" max="16384" width="11.42578125" style="1"/>
  </cols>
  <sheetData>
    <row r="1" spans="5:17" ht="13.5" thickBot="1" x14ac:dyDescent="0.25"/>
    <row r="2" spans="5:17" s="39" customFormat="1" ht="25.5" customHeight="1" thickBot="1" x14ac:dyDescent="0.25">
      <c r="E2" s="33"/>
      <c r="F2" s="34"/>
      <c r="G2" s="35" t="str">
        <f>IF(Bieter&lt;&gt;"",Bieter,"Bietername fehlt !")</f>
        <v>Bietername fehlt !</v>
      </c>
      <c r="H2" s="164"/>
      <c r="I2" s="36"/>
      <c r="J2" s="36"/>
      <c r="K2" s="36"/>
      <c r="L2" s="33"/>
      <c r="M2" s="34"/>
      <c r="N2" s="37"/>
      <c r="O2" s="35" t="s">
        <v>509</v>
      </c>
      <c r="P2" s="152">
        <v>6</v>
      </c>
      <c r="Q2" s="38"/>
    </row>
    <row r="3" spans="5:17" ht="13.5" thickBot="1" x14ac:dyDescent="0.25"/>
    <row r="4" spans="5:17" s="42" customFormat="1" ht="25.5" customHeight="1" thickBot="1" x14ac:dyDescent="0.25">
      <c r="E4" s="116" t="s">
        <v>55</v>
      </c>
      <c r="F4" s="118"/>
      <c r="G4" s="119"/>
      <c r="H4" s="41"/>
      <c r="K4" s="43"/>
      <c r="L4" s="117" t="s">
        <v>56</v>
      </c>
      <c r="M4" s="138"/>
      <c r="N4" s="138"/>
      <c r="O4" s="139"/>
      <c r="P4" s="44"/>
      <c r="Q4" s="44"/>
    </row>
    <row r="5" spans="5:17" s="42" customFormat="1" ht="18.75" customHeight="1" x14ac:dyDescent="0.2">
      <c r="E5" s="120" t="s">
        <v>45</v>
      </c>
      <c r="F5" s="121"/>
      <c r="G5" s="122">
        <f>RT_offentl</f>
        <v>255</v>
      </c>
      <c r="H5" s="41"/>
      <c r="I5" s="45"/>
      <c r="L5" s="120" t="s">
        <v>60</v>
      </c>
      <c r="M5" s="121"/>
      <c r="N5" s="140"/>
      <c r="O5" s="141" t="s">
        <v>69</v>
      </c>
      <c r="P5" s="44"/>
      <c r="Q5" s="44"/>
    </row>
    <row r="6" spans="5:17" s="42" customFormat="1" ht="18.75" customHeight="1" x14ac:dyDescent="0.2">
      <c r="E6" s="120" t="s">
        <v>46</v>
      </c>
      <c r="F6" s="121"/>
      <c r="G6" s="122">
        <v>5</v>
      </c>
      <c r="H6" s="41"/>
      <c r="I6" s="45"/>
      <c r="L6" s="120"/>
      <c r="M6" s="121"/>
      <c r="N6" s="140"/>
      <c r="O6" s="142"/>
      <c r="P6" s="44"/>
      <c r="Q6" s="44"/>
    </row>
    <row r="7" spans="5:17" s="42" customFormat="1" ht="18.75" customHeight="1" x14ac:dyDescent="0.2">
      <c r="E7" s="120" t="s">
        <v>44</v>
      </c>
      <c r="F7" s="121"/>
      <c r="G7" s="123">
        <f>SUM($G$23:$G$39)</f>
        <v>263.33999999999997</v>
      </c>
      <c r="H7" s="41"/>
      <c r="I7" s="45"/>
      <c r="J7" s="45"/>
      <c r="L7" s="120" t="s">
        <v>44</v>
      </c>
      <c r="M7" s="121"/>
      <c r="N7" s="121"/>
      <c r="O7" s="143">
        <f>IF($O$5="JA",$G$48,0)</f>
        <v>263.33999999999997</v>
      </c>
      <c r="P7" s="44"/>
      <c r="Q7" s="44"/>
    </row>
    <row r="8" spans="5:17" s="42" customFormat="1" ht="18.75" customHeight="1" x14ac:dyDescent="0.2">
      <c r="E8" s="120" t="s">
        <v>48</v>
      </c>
      <c r="F8" s="121"/>
      <c r="G8" s="123">
        <f>SUM($L$23:$L$39)</f>
        <v>44703.030000000006</v>
      </c>
      <c r="H8" s="41"/>
      <c r="I8" s="45"/>
      <c r="J8" s="45"/>
      <c r="L8" s="120" t="s">
        <v>48</v>
      </c>
      <c r="M8" s="121"/>
      <c r="N8" s="121"/>
      <c r="O8" s="143">
        <f>IF($O$5="JA",$L$48,0)</f>
        <v>263.33999999999997</v>
      </c>
      <c r="P8" s="44"/>
      <c r="Q8" s="44"/>
    </row>
    <row r="9" spans="5:17" s="42" customFormat="1" ht="18.75" customHeight="1" x14ac:dyDescent="0.2">
      <c r="E9" s="120" t="s">
        <v>49</v>
      </c>
      <c r="F9" s="121"/>
      <c r="G9" s="124">
        <f>SUM($O$23:$O$39)</f>
        <v>0</v>
      </c>
      <c r="H9" s="41"/>
      <c r="I9" s="45"/>
      <c r="J9" s="45"/>
      <c r="L9" s="120" t="s">
        <v>49</v>
      </c>
      <c r="M9" s="121"/>
      <c r="N9" s="121"/>
      <c r="O9" s="124">
        <f>IF($O$5="JA",$O$48,0)</f>
        <v>0</v>
      </c>
      <c r="P9" s="44"/>
      <c r="Q9" s="44"/>
    </row>
    <row r="10" spans="5:17" s="42" customFormat="1" ht="18.75" customHeight="1" x14ac:dyDescent="0.2">
      <c r="E10" s="120" t="s">
        <v>51</v>
      </c>
      <c r="F10" s="121"/>
      <c r="G10" s="124">
        <f>G9/G5</f>
        <v>0</v>
      </c>
      <c r="H10" s="41"/>
      <c r="I10" s="45"/>
      <c r="J10" s="45"/>
      <c r="L10" s="120"/>
      <c r="M10" s="121"/>
      <c r="N10" s="121"/>
      <c r="O10" s="144"/>
      <c r="P10" s="44"/>
      <c r="Q10" s="44"/>
    </row>
    <row r="11" spans="5:17" s="42" customFormat="1" ht="18.75" customHeight="1" x14ac:dyDescent="0.2">
      <c r="E11" s="120" t="s">
        <v>50</v>
      </c>
      <c r="F11" s="121"/>
      <c r="G11" s="125">
        <f>IF(G9&gt;0,G8/G9,0)</f>
        <v>0</v>
      </c>
      <c r="H11" s="41"/>
      <c r="I11" s="45"/>
      <c r="J11" s="45"/>
      <c r="L11" s="120" t="s">
        <v>50</v>
      </c>
      <c r="M11" s="121"/>
      <c r="N11" s="121"/>
      <c r="O11" s="125" t="e">
        <f>IF($O$5="JA",$O$8/$O$9,0)</f>
        <v>#DIV/0!</v>
      </c>
      <c r="P11" s="44"/>
      <c r="Q11" s="44"/>
    </row>
    <row r="12" spans="5:17" s="42" customFormat="1" ht="18.75" customHeight="1" thickBot="1" x14ac:dyDescent="0.25">
      <c r="E12" s="126" t="s">
        <v>57</v>
      </c>
      <c r="F12" s="127"/>
      <c r="G12" s="128">
        <f>IF(G9&gt;0,G14/G9,0)</f>
        <v>0</v>
      </c>
      <c r="H12" s="41"/>
      <c r="I12" s="45"/>
      <c r="J12" s="45"/>
      <c r="L12" s="126" t="s">
        <v>57</v>
      </c>
      <c r="M12" s="127"/>
      <c r="N12" s="127"/>
      <c r="O12" s="145" t="e">
        <f ca="1">IF($O$5="JA",$O$14/$O$9,0)</f>
        <v>#DIV/0!</v>
      </c>
      <c r="P12" s="44"/>
      <c r="Q12" s="44"/>
    </row>
    <row r="13" spans="5:17" s="42" customFormat="1" ht="6.75" customHeight="1" thickBot="1" x14ac:dyDescent="0.25">
      <c r="E13" s="121"/>
      <c r="F13" s="121"/>
      <c r="G13" s="129"/>
      <c r="H13" s="41"/>
      <c r="I13" s="45"/>
      <c r="J13" s="45"/>
      <c r="L13" s="121"/>
      <c r="M13" s="121"/>
      <c r="N13" s="121"/>
      <c r="O13" s="146"/>
      <c r="P13" s="44"/>
      <c r="Q13" s="44"/>
    </row>
    <row r="14" spans="5:17" s="42" customFormat="1" ht="18.75" customHeight="1" x14ac:dyDescent="0.2">
      <c r="E14" s="130" t="s">
        <v>65</v>
      </c>
      <c r="F14" s="131">
        <f ca="1">G14/G5</f>
        <v>0</v>
      </c>
      <c r="G14" s="132">
        <f ca="1">SUM(Q23:Q39)</f>
        <v>0</v>
      </c>
      <c r="H14" s="41"/>
      <c r="I14" s="45"/>
      <c r="J14" s="45"/>
      <c r="K14" s="46"/>
      <c r="L14" s="130" t="s">
        <v>52</v>
      </c>
      <c r="M14" s="147"/>
      <c r="N14" s="147"/>
      <c r="O14" s="148">
        <f ca="1">IF($O$5="JA",$Q$48,0)</f>
        <v>0</v>
      </c>
      <c r="P14" s="44"/>
      <c r="Q14" s="44"/>
    </row>
    <row r="15" spans="5:17" s="42" customFormat="1" ht="18.75" customHeight="1" x14ac:dyDescent="0.2">
      <c r="E15" s="133" t="s">
        <v>53</v>
      </c>
      <c r="F15" s="129"/>
      <c r="G15" s="134">
        <f ca="1">G14*0.19</f>
        <v>0</v>
      </c>
      <c r="H15" s="41"/>
      <c r="I15" s="45"/>
      <c r="J15" s="45"/>
      <c r="K15" s="46"/>
      <c r="L15" s="133" t="s">
        <v>53</v>
      </c>
      <c r="M15" s="121"/>
      <c r="N15" s="121"/>
      <c r="O15" s="149">
        <f ca="1">IF($O$5="JA",O14*0.19,0)</f>
        <v>0</v>
      </c>
      <c r="P15" s="44"/>
      <c r="Q15" s="44"/>
    </row>
    <row r="16" spans="5:17" s="42" customFormat="1" ht="18.75" customHeight="1" thickBot="1" x14ac:dyDescent="0.25">
      <c r="E16" s="135" t="s">
        <v>54</v>
      </c>
      <c r="F16" s="136"/>
      <c r="G16" s="137">
        <f ca="1">G14+G15</f>
        <v>0</v>
      </c>
      <c r="H16" s="41"/>
      <c r="I16" s="45"/>
      <c r="J16" s="45"/>
      <c r="K16" s="46"/>
      <c r="L16" s="135" t="s">
        <v>54</v>
      </c>
      <c r="M16" s="127"/>
      <c r="N16" s="127"/>
      <c r="O16" s="150">
        <f ca="1">IF(O14&lt;&gt;0,SUM(O14:O15),0)</f>
        <v>0</v>
      </c>
      <c r="P16" s="44"/>
      <c r="Q16" s="44"/>
    </row>
    <row r="17" spans="1:17" ht="6" customHeight="1" thickBot="1" x14ac:dyDescent="0.25">
      <c r="M17" s="1"/>
    </row>
    <row r="18" spans="1:17" ht="18" customHeight="1" thickBot="1" x14ac:dyDescent="0.25">
      <c r="A18" s="46"/>
      <c r="B18" s="46"/>
      <c r="C18" s="46"/>
      <c r="D18" s="46"/>
      <c r="E18" s="390" t="s">
        <v>63</v>
      </c>
      <c r="F18" s="391"/>
      <c r="G18" s="392"/>
      <c r="H18" s="47"/>
      <c r="I18" s="48"/>
      <c r="J18" s="48"/>
      <c r="K18" s="48"/>
      <c r="L18" s="393" t="s">
        <v>62</v>
      </c>
      <c r="M18" s="394"/>
      <c r="N18" s="394"/>
      <c r="O18" s="395"/>
      <c r="P18" s="49"/>
      <c r="Q18" s="49"/>
    </row>
    <row r="19" spans="1:17" ht="6" customHeight="1" thickBot="1" x14ac:dyDescent="0.25"/>
    <row r="20" spans="1:17" s="58" customFormat="1" x14ac:dyDescent="0.2">
      <c r="A20" s="50" t="s">
        <v>0</v>
      </c>
      <c r="B20" s="51" t="s">
        <v>40</v>
      </c>
      <c r="C20" s="51" t="s">
        <v>61</v>
      </c>
      <c r="D20" s="51" t="s">
        <v>41</v>
      </c>
      <c r="E20" s="52" t="s">
        <v>42</v>
      </c>
      <c r="F20" s="52" t="s">
        <v>24</v>
      </c>
      <c r="G20" s="53" t="s">
        <v>25</v>
      </c>
      <c r="H20" s="52" t="s">
        <v>1</v>
      </c>
      <c r="I20" s="396" t="s">
        <v>26</v>
      </c>
      <c r="J20" s="396"/>
      <c r="K20" s="396"/>
      <c r="L20" s="53" t="s">
        <v>33</v>
      </c>
      <c r="M20" s="54" t="s">
        <v>2</v>
      </c>
      <c r="N20" s="52" t="s">
        <v>15</v>
      </c>
      <c r="O20" s="55" t="s">
        <v>30</v>
      </c>
      <c r="P20" s="56" t="s">
        <v>13</v>
      </c>
      <c r="Q20" s="57" t="s">
        <v>31</v>
      </c>
    </row>
    <row r="21" spans="1:17" s="58" customFormat="1" ht="25.5" customHeight="1" thickBot="1" x14ac:dyDescent="0.25">
      <c r="A21" s="18"/>
      <c r="B21" s="19"/>
      <c r="C21" s="19"/>
      <c r="D21" s="19"/>
      <c r="E21" s="20" t="s">
        <v>43</v>
      </c>
      <c r="F21" s="20"/>
      <c r="G21" s="21" t="s">
        <v>32</v>
      </c>
      <c r="H21" s="20"/>
      <c r="I21" s="22" t="s">
        <v>27</v>
      </c>
      <c r="J21" s="22" t="s">
        <v>28</v>
      </c>
      <c r="K21" s="22" t="s">
        <v>29</v>
      </c>
      <c r="L21" s="21" t="s">
        <v>34</v>
      </c>
      <c r="M21" s="23" t="s">
        <v>35</v>
      </c>
      <c r="N21" s="20" t="s">
        <v>36</v>
      </c>
      <c r="O21" s="24" t="s">
        <v>37</v>
      </c>
      <c r="P21" s="25" t="s">
        <v>38</v>
      </c>
      <c r="Q21" s="26" t="s">
        <v>39</v>
      </c>
    </row>
    <row r="22" spans="1:17" ht="3.75" customHeight="1" x14ac:dyDescent="0.2">
      <c r="A22" s="68" t="s">
        <v>21</v>
      </c>
      <c r="B22" s="69" t="s">
        <v>21</v>
      </c>
      <c r="C22" s="69"/>
      <c r="D22" s="69" t="s">
        <v>21</v>
      </c>
      <c r="E22" s="69" t="s">
        <v>21</v>
      </c>
      <c r="F22" s="69" t="s">
        <v>21</v>
      </c>
      <c r="G22" s="70" t="s">
        <v>21</v>
      </c>
      <c r="H22" s="71" t="s">
        <v>21</v>
      </c>
      <c r="I22" s="72" t="s">
        <v>21</v>
      </c>
      <c r="J22" s="72" t="s">
        <v>21</v>
      </c>
      <c r="K22" s="72" t="s">
        <v>21</v>
      </c>
      <c r="L22" s="70" t="s">
        <v>21</v>
      </c>
      <c r="M22" s="73" t="s">
        <v>21</v>
      </c>
      <c r="N22" s="74" t="s">
        <v>21</v>
      </c>
      <c r="O22" s="75" t="s">
        <v>21</v>
      </c>
      <c r="P22" s="76" t="s">
        <v>21</v>
      </c>
      <c r="Q22" s="77" t="s">
        <v>21</v>
      </c>
    </row>
    <row r="23" spans="1:17" ht="24" customHeight="1" x14ac:dyDescent="0.2">
      <c r="A23" s="81">
        <v>1</v>
      </c>
      <c r="B23" s="82" t="s">
        <v>276</v>
      </c>
      <c r="C23" s="82"/>
      <c r="D23" s="82"/>
      <c r="E23" s="82" t="s">
        <v>510</v>
      </c>
      <c r="F23" s="82" t="s">
        <v>531</v>
      </c>
      <c r="G23" s="83">
        <v>46.37</v>
      </c>
      <c r="H23" s="245" t="s">
        <v>518</v>
      </c>
      <c r="I23" s="246">
        <f>VLOOKUP($H23,Leistungswerte!$A$8:$E$54,3,FALSE)</f>
        <v>5</v>
      </c>
      <c r="J23" s="246">
        <f>VLOOKUP($H23,Leistungswerte!$A$8:$E$54,4,FALSE)</f>
        <v>0</v>
      </c>
      <c r="K23" s="246">
        <f>VLOOKUP($H23,Leistungswerte!$A$8:$E$54,5,FALSE)</f>
        <v>0</v>
      </c>
      <c r="L23" s="83">
        <f t="shared" ref="L23:L38" si="0">($G$5/$G$6*I23+J23*12+K23)*G23</f>
        <v>11824.349999999999</v>
      </c>
      <c r="M23" s="247">
        <f>VLOOKUP($H23,Leistungswerte!$A$8:$F$54,$P$2,FALSE)</f>
        <v>0</v>
      </c>
      <c r="N23" s="84">
        <f t="shared" ref="N23:N38" si="1">IF(M23&lt;&gt;0,G23/M23/24,0)</f>
        <v>0</v>
      </c>
      <c r="O23" s="80">
        <f t="shared" ref="O23:O38" si="2">IF(M23&lt;&gt;0,L23/M23,0)</f>
        <v>0</v>
      </c>
      <c r="P23" s="248">
        <f t="shared" ref="P23:P38" ca="1" si="3">SVS_UR</f>
        <v>0</v>
      </c>
      <c r="Q23" s="85">
        <f t="shared" ref="Q23:Q38" ca="1" si="4">O23*P23</f>
        <v>0</v>
      </c>
    </row>
    <row r="24" spans="1:17" ht="24" customHeight="1" x14ac:dyDescent="0.2">
      <c r="A24" s="81">
        <f t="shared" ref="A24:A38" si="5">A23+1</f>
        <v>2</v>
      </c>
      <c r="B24" s="82" t="s">
        <v>276</v>
      </c>
      <c r="C24" s="82"/>
      <c r="D24" s="82"/>
      <c r="E24" s="82" t="s">
        <v>511</v>
      </c>
      <c r="F24" s="82" t="s">
        <v>531</v>
      </c>
      <c r="G24" s="83">
        <v>12.46</v>
      </c>
      <c r="H24" s="245" t="s">
        <v>519</v>
      </c>
      <c r="I24" s="246">
        <f>VLOOKUP($H24,Leistungswerte!$A$8:$E$54,3,FALSE)</f>
        <v>5</v>
      </c>
      <c r="J24" s="246">
        <f>VLOOKUP($H24,Leistungswerte!$A$8:$E$54,4,FALSE)</f>
        <v>0</v>
      </c>
      <c r="K24" s="246">
        <f>VLOOKUP($H24,Leistungswerte!$A$8:$E$54,5,FALSE)</f>
        <v>0</v>
      </c>
      <c r="L24" s="83">
        <f t="shared" si="0"/>
        <v>3177.3</v>
      </c>
      <c r="M24" s="247">
        <f>VLOOKUP($H24,Leistungswerte!$A$8:$F$54,$P$2,FALSE)</f>
        <v>0</v>
      </c>
      <c r="N24" s="84">
        <f t="shared" si="1"/>
        <v>0</v>
      </c>
      <c r="O24" s="80">
        <f t="shared" si="2"/>
        <v>0</v>
      </c>
      <c r="P24" s="248">
        <f t="shared" ca="1" si="3"/>
        <v>0</v>
      </c>
      <c r="Q24" s="85">
        <f t="shared" ca="1" si="4"/>
        <v>0</v>
      </c>
    </row>
    <row r="25" spans="1:17" ht="24" customHeight="1" x14ac:dyDescent="0.2">
      <c r="A25" s="81">
        <f t="shared" si="5"/>
        <v>3</v>
      </c>
      <c r="B25" s="82" t="s">
        <v>276</v>
      </c>
      <c r="C25" s="82"/>
      <c r="D25" s="82"/>
      <c r="E25" s="82" t="s">
        <v>512</v>
      </c>
      <c r="F25" s="82" t="s">
        <v>531</v>
      </c>
      <c r="G25" s="83">
        <v>46.49</v>
      </c>
      <c r="H25" s="245" t="s">
        <v>520</v>
      </c>
      <c r="I25" s="246">
        <f>VLOOKUP($H25,Leistungswerte!$A$8:$E$54,3,FALSE)</f>
        <v>5</v>
      </c>
      <c r="J25" s="246">
        <f>VLOOKUP($H25,Leistungswerte!$A$8:$E$54,4,FALSE)</f>
        <v>0</v>
      </c>
      <c r="K25" s="246">
        <f>VLOOKUP($H25,Leistungswerte!$A$8:$E$54,5,FALSE)</f>
        <v>0</v>
      </c>
      <c r="L25" s="83">
        <f t="shared" si="0"/>
        <v>11854.95</v>
      </c>
      <c r="M25" s="247">
        <f>VLOOKUP($H25,Leistungswerte!$A$8:$F$54,$P$2,FALSE)</f>
        <v>0</v>
      </c>
      <c r="N25" s="84">
        <f t="shared" si="1"/>
        <v>0</v>
      </c>
      <c r="O25" s="80">
        <f t="shared" si="2"/>
        <v>0</v>
      </c>
      <c r="P25" s="248">
        <f t="shared" ca="1" si="3"/>
        <v>0</v>
      </c>
      <c r="Q25" s="85">
        <f t="shared" ca="1" si="4"/>
        <v>0</v>
      </c>
    </row>
    <row r="26" spans="1:17" ht="24" customHeight="1" x14ac:dyDescent="0.2">
      <c r="A26" s="81">
        <f t="shared" si="5"/>
        <v>4</v>
      </c>
      <c r="B26" s="82" t="s">
        <v>276</v>
      </c>
      <c r="C26" s="82"/>
      <c r="D26" s="82"/>
      <c r="E26" s="82" t="s">
        <v>428</v>
      </c>
      <c r="F26" s="82" t="s">
        <v>436</v>
      </c>
      <c r="G26" s="83">
        <v>6.98</v>
      </c>
      <c r="H26" s="245" t="s">
        <v>521</v>
      </c>
      <c r="I26" s="246">
        <f>VLOOKUP($H26,Leistungswerte!$A$8:$E$54,3,FALSE)</f>
        <v>5</v>
      </c>
      <c r="J26" s="246">
        <f>VLOOKUP($H26,Leistungswerte!$A$8:$E$54,4,FALSE)</f>
        <v>0</v>
      </c>
      <c r="K26" s="246">
        <f>VLOOKUP($H26,Leistungswerte!$A$8:$E$54,5,FALSE)</f>
        <v>0</v>
      </c>
      <c r="L26" s="83">
        <f t="shared" si="0"/>
        <v>1779.9</v>
      </c>
      <c r="M26" s="247">
        <f>VLOOKUP($H26,Leistungswerte!$A$8:$F$54,$P$2,FALSE)</f>
        <v>0</v>
      </c>
      <c r="N26" s="84">
        <f t="shared" si="1"/>
        <v>0</v>
      </c>
      <c r="O26" s="80">
        <f t="shared" si="2"/>
        <v>0</v>
      </c>
      <c r="P26" s="248">
        <f t="shared" ca="1" si="3"/>
        <v>0</v>
      </c>
      <c r="Q26" s="85">
        <f t="shared" ca="1" si="4"/>
        <v>0</v>
      </c>
    </row>
    <row r="27" spans="1:17" ht="24" customHeight="1" x14ac:dyDescent="0.2">
      <c r="A27" s="81">
        <f t="shared" si="5"/>
        <v>5</v>
      </c>
      <c r="B27" s="82" t="s">
        <v>276</v>
      </c>
      <c r="C27" s="82"/>
      <c r="D27" s="82"/>
      <c r="E27" s="82" t="s">
        <v>412</v>
      </c>
      <c r="F27" s="82" t="s">
        <v>531</v>
      </c>
      <c r="G27" s="83">
        <v>33.549999999999997</v>
      </c>
      <c r="H27" s="245" t="s">
        <v>521</v>
      </c>
      <c r="I27" s="246">
        <f>VLOOKUP($H27,Leistungswerte!$A$8:$E$54,3,FALSE)</f>
        <v>5</v>
      </c>
      <c r="J27" s="246">
        <f>VLOOKUP($H27,Leistungswerte!$A$8:$E$54,4,FALSE)</f>
        <v>0</v>
      </c>
      <c r="K27" s="246">
        <f>VLOOKUP($H27,Leistungswerte!$A$8:$E$54,5,FALSE)</f>
        <v>0</v>
      </c>
      <c r="L27" s="83">
        <f t="shared" si="0"/>
        <v>8555.25</v>
      </c>
      <c r="M27" s="247">
        <f>VLOOKUP($H27,Leistungswerte!$A$8:$F$54,$P$2,FALSE)</f>
        <v>0</v>
      </c>
      <c r="N27" s="84">
        <f t="shared" si="1"/>
        <v>0</v>
      </c>
      <c r="O27" s="80">
        <f t="shared" si="2"/>
        <v>0</v>
      </c>
      <c r="P27" s="248">
        <f t="shared" ca="1" si="3"/>
        <v>0</v>
      </c>
      <c r="Q27" s="85">
        <f t="shared" ca="1" si="4"/>
        <v>0</v>
      </c>
    </row>
    <row r="28" spans="1:17" ht="24" customHeight="1" x14ac:dyDescent="0.2">
      <c r="A28" s="81">
        <f t="shared" si="5"/>
        <v>6</v>
      </c>
      <c r="B28" s="82" t="s">
        <v>276</v>
      </c>
      <c r="C28" s="82"/>
      <c r="D28" s="82"/>
      <c r="E28" s="82" t="s">
        <v>414</v>
      </c>
      <c r="F28" s="82" t="s">
        <v>436</v>
      </c>
      <c r="G28" s="83">
        <v>12.41</v>
      </c>
      <c r="H28" s="245" t="s">
        <v>521</v>
      </c>
      <c r="I28" s="246">
        <f>VLOOKUP($H28,Leistungswerte!$A$8:$E$54,3,FALSE)</f>
        <v>5</v>
      </c>
      <c r="J28" s="246">
        <f>VLOOKUP($H28,Leistungswerte!$A$8:$E$54,4,FALSE)</f>
        <v>0</v>
      </c>
      <c r="K28" s="246">
        <f>VLOOKUP($H28,Leistungswerte!$A$8:$E$54,5,FALSE)</f>
        <v>0</v>
      </c>
      <c r="L28" s="83">
        <f t="shared" si="0"/>
        <v>3164.55</v>
      </c>
      <c r="M28" s="247">
        <f>VLOOKUP($H28,Leistungswerte!$A$8:$F$54,$P$2,FALSE)</f>
        <v>0</v>
      </c>
      <c r="N28" s="84">
        <f t="shared" si="1"/>
        <v>0</v>
      </c>
      <c r="O28" s="80">
        <f t="shared" si="2"/>
        <v>0</v>
      </c>
      <c r="P28" s="248">
        <f t="shared" ca="1" si="3"/>
        <v>0</v>
      </c>
      <c r="Q28" s="85">
        <f t="shared" ca="1" si="4"/>
        <v>0</v>
      </c>
    </row>
    <row r="29" spans="1:17" ht="24" customHeight="1" x14ac:dyDescent="0.2">
      <c r="A29" s="81">
        <f t="shared" si="5"/>
        <v>7</v>
      </c>
      <c r="B29" s="82" t="s">
        <v>276</v>
      </c>
      <c r="C29" s="82"/>
      <c r="D29" s="82"/>
      <c r="E29" s="82" t="s">
        <v>429</v>
      </c>
      <c r="F29" s="82" t="s">
        <v>436</v>
      </c>
      <c r="G29" s="83">
        <v>1.5</v>
      </c>
      <c r="H29" s="245" t="s">
        <v>521</v>
      </c>
      <c r="I29" s="246">
        <f>VLOOKUP($H29,Leistungswerte!$A$8:$E$54,3,FALSE)</f>
        <v>5</v>
      </c>
      <c r="J29" s="246">
        <f>VLOOKUP($H29,Leistungswerte!$A$8:$E$54,4,FALSE)</f>
        <v>0</v>
      </c>
      <c r="K29" s="246">
        <f>VLOOKUP($H29,Leistungswerte!$A$8:$E$54,5,FALSE)</f>
        <v>0</v>
      </c>
      <c r="L29" s="83">
        <f t="shared" si="0"/>
        <v>382.5</v>
      </c>
      <c r="M29" s="247">
        <f>VLOOKUP($H29,Leistungswerte!$A$8:$F$54,$P$2,FALSE)</f>
        <v>0</v>
      </c>
      <c r="N29" s="84">
        <f t="shared" si="1"/>
        <v>0</v>
      </c>
      <c r="O29" s="80">
        <f t="shared" si="2"/>
        <v>0</v>
      </c>
      <c r="P29" s="248">
        <f t="shared" ca="1" si="3"/>
        <v>0</v>
      </c>
      <c r="Q29" s="85">
        <f t="shared" ca="1" si="4"/>
        <v>0</v>
      </c>
    </row>
    <row r="30" spans="1:17" ht="24" customHeight="1" x14ac:dyDescent="0.2">
      <c r="A30" s="81">
        <f t="shared" si="5"/>
        <v>8</v>
      </c>
      <c r="B30" s="82" t="s">
        <v>276</v>
      </c>
      <c r="C30" s="82"/>
      <c r="D30" s="82"/>
      <c r="E30" s="82" t="s">
        <v>413</v>
      </c>
      <c r="F30" s="82" t="s">
        <v>531</v>
      </c>
      <c r="G30" s="83">
        <v>10.199999999999999</v>
      </c>
      <c r="H30" s="245" t="s">
        <v>521</v>
      </c>
      <c r="I30" s="246">
        <f>VLOOKUP($H30,Leistungswerte!$A$8:$E$54,3,FALSE)</f>
        <v>5</v>
      </c>
      <c r="J30" s="246">
        <f>VLOOKUP($H30,Leistungswerte!$A$8:$E$54,4,FALSE)</f>
        <v>0</v>
      </c>
      <c r="K30" s="246">
        <f>VLOOKUP($H30,Leistungswerte!$A$8:$E$54,5,FALSE)</f>
        <v>0</v>
      </c>
      <c r="L30" s="83">
        <f t="shared" si="0"/>
        <v>2601</v>
      </c>
      <c r="M30" s="247">
        <f>VLOOKUP($H30,Leistungswerte!$A$8:$F$54,$P$2,FALSE)</f>
        <v>0</v>
      </c>
      <c r="N30" s="84">
        <f t="shared" si="1"/>
        <v>0</v>
      </c>
      <c r="O30" s="80">
        <f t="shared" si="2"/>
        <v>0</v>
      </c>
      <c r="P30" s="248">
        <f t="shared" ca="1" si="3"/>
        <v>0</v>
      </c>
      <c r="Q30" s="85">
        <f t="shared" ca="1" si="4"/>
        <v>0</v>
      </c>
    </row>
    <row r="31" spans="1:17" ht="24" customHeight="1" x14ac:dyDescent="0.2">
      <c r="A31" s="81">
        <f t="shared" si="5"/>
        <v>9</v>
      </c>
      <c r="B31" s="82" t="s">
        <v>276</v>
      </c>
      <c r="C31" s="82"/>
      <c r="D31" s="82"/>
      <c r="E31" s="82" t="s">
        <v>286</v>
      </c>
      <c r="F31" s="82" t="s">
        <v>436</v>
      </c>
      <c r="G31" s="83">
        <v>5.0599999999999996</v>
      </c>
      <c r="H31" s="245" t="s">
        <v>521</v>
      </c>
      <c r="I31" s="246">
        <f>VLOOKUP($H31,Leistungswerte!$A$8:$E$54,3,FALSE)</f>
        <v>5</v>
      </c>
      <c r="J31" s="246">
        <f>VLOOKUP($H31,Leistungswerte!$A$8:$E$54,4,FALSE)</f>
        <v>0</v>
      </c>
      <c r="K31" s="246">
        <f>VLOOKUP($H31,Leistungswerte!$A$8:$E$54,5,FALSE)</f>
        <v>0</v>
      </c>
      <c r="L31" s="83">
        <f t="shared" si="0"/>
        <v>1290.3</v>
      </c>
      <c r="M31" s="247">
        <f>VLOOKUP($H31,Leistungswerte!$A$8:$F$54,$P$2,FALSE)</f>
        <v>0</v>
      </c>
      <c r="N31" s="84">
        <f t="shared" si="1"/>
        <v>0</v>
      </c>
      <c r="O31" s="80">
        <f t="shared" si="2"/>
        <v>0</v>
      </c>
      <c r="P31" s="248">
        <f t="shared" ca="1" si="3"/>
        <v>0</v>
      </c>
      <c r="Q31" s="85">
        <f t="shared" ca="1" si="4"/>
        <v>0</v>
      </c>
    </row>
    <row r="32" spans="1:17" ht="24" customHeight="1" x14ac:dyDescent="0.2">
      <c r="A32" s="81">
        <f t="shared" si="5"/>
        <v>10</v>
      </c>
      <c r="B32" s="82" t="s">
        <v>276</v>
      </c>
      <c r="C32" s="82"/>
      <c r="D32" s="82"/>
      <c r="E32" s="82" t="s">
        <v>273</v>
      </c>
      <c r="F32" s="82" t="s">
        <v>436</v>
      </c>
      <c r="G32" s="83">
        <v>1.43</v>
      </c>
      <c r="H32" s="245" t="s">
        <v>527</v>
      </c>
      <c r="I32" s="246">
        <f>VLOOKUP($H32,Leistungswerte!$A$8:$E$54,3,FALSE)</f>
        <v>1</v>
      </c>
      <c r="J32" s="246">
        <f>VLOOKUP($H32,Leistungswerte!$A$8:$E$54,4,FALSE)</f>
        <v>0</v>
      </c>
      <c r="K32" s="246">
        <f>VLOOKUP($H32,Leistungswerte!$A$8:$E$54,5,FALSE)</f>
        <v>0</v>
      </c>
      <c r="L32" s="83">
        <f t="shared" si="0"/>
        <v>72.929999999999993</v>
      </c>
      <c r="M32" s="247">
        <f>VLOOKUP($H32,Leistungswerte!$A$8:$F$54,$P$2,FALSE)</f>
        <v>0</v>
      </c>
      <c r="N32" s="84">
        <f t="shared" si="1"/>
        <v>0</v>
      </c>
      <c r="O32" s="80">
        <f t="shared" si="2"/>
        <v>0</v>
      </c>
      <c r="P32" s="248">
        <f t="shared" ca="1" si="3"/>
        <v>0</v>
      </c>
      <c r="Q32" s="85">
        <f t="shared" ca="1" si="4"/>
        <v>0</v>
      </c>
    </row>
    <row r="33" spans="1:17" ht="24" customHeight="1" x14ac:dyDescent="0.2">
      <c r="A33" s="81">
        <f t="shared" si="5"/>
        <v>11</v>
      </c>
      <c r="B33" s="82" t="s">
        <v>276</v>
      </c>
      <c r="C33" s="82"/>
      <c r="D33" s="82"/>
      <c r="E33" s="82" t="s">
        <v>513</v>
      </c>
      <c r="F33" s="82" t="s">
        <v>531</v>
      </c>
      <c r="G33" s="83">
        <v>15.04</v>
      </c>
      <c r="H33" s="245" t="s">
        <v>16</v>
      </c>
      <c r="I33" s="246">
        <f>VLOOKUP($H33,Leistungswerte!$A$8:$E$54,3,FALSE)</f>
        <v>0</v>
      </c>
      <c r="J33" s="246">
        <f>VLOOKUP($H33,Leistungswerte!$A$8:$E$54,4,FALSE)</f>
        <v>0</v>
      </c>
      <c r="K33" s="246">
        <f>VLOOKUP($H33,Leistungswerte!$A$8:$E$54,5,FALSE)</f>
        <v>0</v>
      </c>
      <c r="L33" s="83">
        <f t="shared" si="0"/>
        <v>0</v>
      </c>
      <c r="M33" s="247">
        <f>VLOOKUP($H33,Leistungswerte!$A$8:$F$54,$P$2,FALSE)</f>
        <v>0</v>
      </c>
      <c r="N33" s="84">
        <f t="shared" si="1"/>
        <v>0</v>
      </c>
      <c r="O33" s="80">
        <f t="shared" si="2"/>
        <v>0</v>
      </c>
      <c r="P33" s="248">
        <f t="shared" ca="1" si="3"/>
        <v>0</v>
      </c>
      <c r="Q33" s="85">
        <f t="shared" ca="1" si="4"/>
        <v>0</v>
      </c>
    </row>
    <row r="34" spans="1:17" ht="24" customHeight="1" x14ac:dyDescent="0.2">
      <c r="A34" s="81">
        <f t="shared" si="5"/>
        <v>12</v>
      </c>
      <c r="B34" s="82" t="s">
        <v>276</v>
      </c>
      <c r="C34" s="82"/>
      <c r="D34" s="82"/>
      <c r="E34" s="82" t="s">
        <v>514</v>
      </c>
      <c r="F34" s="82" t="s">
        <v>531</v>
      </c>
      <c r="G34" s="83">
        <v>15.35</v>
      </c>
      <c r="H34" s="245" t="s">
        <v>16</v>
      </c>
      <c r="I34" s="246">
        <f>VLOOKUP($H34,Leistungswerte!$A$8:$E$54,3,FALSE)</f>
        <v>0</v>
      </c>
      <c r="J34" s="246">
        <f>VLOOKUP($H34,Leistungswerte!$A$8:$E$54,4,FALSE)</f>
        <v>0</v>
      </c>
      <c r="K34" s="246">
        <f>VLOOKUP($H34,Leistungswerte!$A$8:$E$54,5,FALSE)</f>
        <v>0</v>
      </c>
      <c r="L34" s="83">
        <f t="shared" si="0"/>
        <v>0</v>
      </c>
      <c r="M34" s="247">
        <f>VLOOKUP($H34,Leistungswerte!$A$8:$F$54,$P$2,FALSE)</f>
        <v>0</v>
      </c>
      <c r="N34" s="84">
        <f t="shared" si="1"/>
        <v>0</v>
      </c>
      <c r="O34" s="80">
        <f t="shared" si="2"/>
        <v>0</v>
      </c>
      <c r="P34" s="248">
        <f t="shared" ca="1" si="3"/>
        <v>0</v>
      </c>
      <c r="Q34" s="85">
        <f t="shared" ca="1" si="4"/>
        <v>0</v>
      </c>
    </row>
    <row r="35" spans="1:17" ht="24" customHeight="1" x14ac:dyDescent="0.2">
      <c r="A35" s="81">
        <f t="shared" si="5"/>
        <v>13</v>
      </c>
      <c r="B35" s="82" t="s">
        <v>276</v>
      </c>
      <c r="C35" s="82"/>
      <c r="D35" s="82"/>
      <c r="E35" s="82" t="s">
        <v>515</v>
      </c>
      <c r="F35" s="82" t="s">
        <v>531</v>
      </c>
      <c r="G35" s="83">
        <v>9.17</v>
      </c>
      <c r="H35" s="245" t="s">
        <v>16</v>
      </c>
      <c r="I35" s="246">
        <f>VLOOKUP($H35,Leistungswerte!$A$8:$E$54,3,FALSE)</f>
        <v>0</v>
      </c>
      <c r="J35" s="246">
        <f>VLOOKUP($H35,Leistungswerte!$A$8:$E$54,4,FALSE)</f>
        <v>0</v>
      </c>
      <c r="K35" s="246">
        <f>VLOOKUP($H35,Leistungswerte!$A$8:$E$54,5,FALSE)</f>
        <v>0</v>
      </c>
      <c r="L35" s="83">
        <f t="shared" si="0"/>
        <v>0</v>
      </c>
      <c r="M35" s="247">
        <f>VLOOKUP($H35,Leistungswerte!$A$8:$F$54,$P$2,FALSE)</f>
        <v>0</v>
      </c>
      <c r="N35" s="84">
        <f t="shared" si="1"/>
        <v>0</v>
      </c>
      <c r="O35" s="80">
        <f t="shared" si="2"/>
        <v>0</v>
      </c>
      <c r="P35" s="248">
        <f t="shared" ca="1" si="3"/>
        <v>0</v>
      </c>
      <c r="Q35" s="85">
        <f t="shared" ca="1" si="4"/>
        <v>0</v>
      </c>
    </row>
    <row r="36" spans="1:17" ht="24" customHeight="1" x14ac:dyDescent="0.2">
      <c r="A36" s="81">
        <f t="shared" si="5"/>
        <v>14</v>
      </c>
      <c r="B36" s="82" t="s">
        <v>276</v>
      </c>
      <c r="C36" s="82"/>
      <c r="D36" s="82"/>
      <c r="E36" s="82" t="s">
        <v>516</v>
      </c>
      <c r="F36" s="82" t="s">
        <v>436</v>
      </c>
      <c r="G36" s="83">
        <v>32.29</v>
      </c>
      <c r="H36" s="245" t="s">
        <v>16</v>
      </c>
      <c r="I36" s="246">
        <f>VLOOKUP($H36,Leistungswerte!$A$8:$E$54,3,FALSE)</f>
        <v>0</v>
      </c>
      <c r="J36" s="246">
        <f>VLOOKUP($H36,Leistungswerte!$A$8:$E$54,4,FALSE)</f>
        <v>0</v>
      </c>
      <c r="K36" s="246">
        <f>VLOOKUP($H36,Leistungswerte!$A$8:$E$54,5,FALSE)</f>
        <v>0</v>
      </c>
      <c r="L36" s="83">
        <f t="shared" si="0"/>
        <v>0</v>
      </c>
      <c r="M36" s="247">
        <f>VLOOKUP($H36,Leistungswerte!$A$8:$F$54,$P$2,FALSE)</f>
        <v>0</v>
      </c>
      <c r="N36" s="84">
        <f t="shared" si="1"/>
        <v>0</v>
      </c>
      <c r="O36" s="80">
        <f t="shared" si="2"/>
        <v>0</v>
      </c>
      <c r="P36" s="248">
        <f t="shared" ca="1" si="3"/>
        <v>0</v>
      </c>
      <c r="Q36" s="85">
        <f t="shared" ca="1" si="4"/>
        <v>0</v>
      </c>
    </row>
    <row r="37" spans="1:17" ht="24" customHeight="1" x14ac:dyDescent="0.2">
      <c r="A37" s="81">
        <f t="shared" si="5"/>
        <v>15</v>
      </c>
      <c r="B37" s="82" t="s">
        <v>276</v>
      </c>
      <c r="C37" s="82"/>
      <c r="D37" s="82"/>
      <c r="E37" s="82" t="s">
        <v>517</v>
      </c>
      <c r="F37" s="82" t="s">
        <v>436</v>
      </c>
      <c r="G37" s="83">
        <v>7.57</v>
      </c>
      <c r="H37" s="245" t="s">
        <v>16</v>
      </c>
      <c r="I37" s="246">
        <f>VLOOKUP($H37,Leistungswerte!$A$8:$E$54,3,FALSE)</f>
        <v>0</v>
      </c>
      <c r="J37" s="246">
        <f>VLOOKUP($H37,Leistungswerte!$A$8:$E$54,4,FALSE)</f>
        <v>0</v>
      </c>
      <c r="K37" s="246">
        <f>VLOOKUP($H37,Leistungswerte!$A$8:$E$54,5,FALSE)</f>
        <v>0</v>
      </c>
      <c r="L37" s="83">
        <f t="shared" si="0"/>
        <v>0</v>
      </c>
      <c r="M37" s="247">
        <f>VLOOKUP($H37,Leistungswerte!$A$8:$F$54,$P$2,FALSE)</f>
        <v>0</v>
      </c>
      <c r="N37" s="84">
        <f t="shared" si="1"/>
        <v>0</v>
      </c>
      <c r="O37" s="80">
        <f t="shared" si="2"/>
        <v>0</v>
      </c>
      <c r="P37" s="248">
        <f t="shared" ca="1" si="3"/>
        <v>0</v>
      </c>
      <c r="Q37" s="85">
        <f t="shared" ca="1" si="4"/>
        <v>0</v>
      </c>
    </row>
    <row r="38" spans="1:17" ht="24" customHeight="1" x14ac:dyDescent="0.2">
      <c r="A38" s="81">
        <f t="shared" si="5"/>
        <v>16</v>
      </c>
      <c r="B38" s="82" t="s">
        <v>276</v>
      </c>
      <c r="C38" s="82"/>
      <c r="D38" s="82"/>
      <c r="E38" s="82" t="s">
        <v>532</v>
      </c>
      <c r="F38" s="82" t="s">
        <v>436</v>
      </c>
      <c r="G38" s="83">
        <v>7.47</v>
      </c>
      <c r="H38" s="245" t="s">
        <v>16</v>
      </c>
      <c r="I38" s="246">
        <f>VLOOKUP($H38,Leistungswerte!$A$8:$E$54,3,FALSE)</f>
        <v>0</v>
      </c>
      <c r="J38" s="246">
        <f>VLOOKUP($H38,Leistungswerte!$A$8:$E$54,4,FALSE)</f>
        <v>0</v>
      </c>
      <c r="K38" s="246">
        <f>VLOOKUP($H38,Leistungswerte!$A$8:$E$54,5,FALSE)</f>
        <v>0</v>
      </c>
      <c r="L38" s="83">
        <f t="shared" si="0"/>
        <v>0</v>
      </c>
      <c r="M38" s="247">
        <f>VLOOKUP($H38,Leistungswerte!$A$8:$F$54,$P$2,FALSE)</f>
        <v>0</v>
      </c>
      <c r="N38" s="84">
        <f t="shared" si="1"/>
        <v>0</v>
      </c>
      <c r="O38" s="80">
        <f t="shared" si="2"/>
        <v>0</v>
      </c>
      <c r="P38" s="248">
        <f t="shared" ca="1" si="3"/>
        <v>0</v>
      </c>
      <c r="Q38" s="85">
        <f t="shared" ca="1" si="4"/>
        <v>0</v>
      </c>
    </row>
    <row r="39" spans="1:17" ht="3.75" customHeight="1" thickBot="1" x14ac:dyDescent="0.25">
      <c r="A39" s="86"/>
      <c r="B39" s="87"/>
      <c r="C39" s="87"/>
      <c r="D39" s="87"/>
      <c r="E39" s="87"/>
      <c r="F39" s="87"/>
      <c r="G39" s="88"/>
      <c r="H39" s="89"/>
      <c r="I39" s="90"/>
      <c r="J39" s="90"/>
      <c r="K39" s="90"/>
      <c r="L39" s="88"/>
      <c r="M39" s="91"/>
      <c r="N39" s="87"/>
      <c r="O39" s="92"/>
      <c r="P39" s="93"/>
      <c r="Q39" s="94"/>
    </row>
    <row r="40" spans="1:17" s="46" customFormat="1" ht="25.5" customHeight="1" thickBot="1" x14ac:dyDescent="0.25">
      <c r="A40" s="40" t="s">
        <v>47</v>
      </c>
      <c r="B40" s="95"/>
      <c r="C40" s="95"/>
      <c r="D40" s="95"/>
      <c r="E40" s="95"/>
      <c r="F40" s="96"/>
      <c r="G40" s="97">
        <f>SUBTOTAL(9,G23:G39)</f>
        <v>263.33999999999997</v>
      </c>
      <c r="H40" s="98"/>
      <c r="I40" s="99"/>
      <c r="J40" s="99"/>
      <c r="K40" s="99"/>
      <c r="L40" s="97">
        <f>SUBTOTAL(9,L23:L39)</f>
        <v>44703.030000000006</v>
      </c>
      <c r="M40" s="100" t="e">
        <f>L40/O40</f>
        <v>#DIV/0!</v>
      </c>
      <c r="N40" s="95"/>
      <c r="O40" s="101">
        <f>SUBTOTAL(9,O23:O39)</f>
        <v>0</v>
      </c>
      <c r="P40" s="102"/>
      <c r="Q40" s="220">
        <f ca="1">SUBTOTAL(9,Q23:Q39)</f>
        <v>0</v>
      </c>
    </row>
    <row r="42" spans="1:17" ht="13.5" thickBot="1" x14ac:dyDescent="0.25"/>
    <row r="43" spans="1:17" s="58" customFormat="1" x14ac:dyDescent="0.2">
      <c r="A43" s="50" t="s">
        <v>0</v>
      </c>
      <c r="B43" s="51" t="s">
        <v>40</v>
      </c>
      <c r="C43" s="51"/>
      <c r="D43" s="51" t="s">
        <v>41</v>
      </c>
      <c r="E43" s="52" t="s">
        <v>42</v>
      </c>
      <c r="F43" s="52" t="s">
        <v>24</v>
      </c>
      <c r="G43" s="53" t="s">
        <v>25</v>
      </c>
      <c r="H43" s="52" t="s">
        <v>1</v>
      </c>
      <c r="I43" s="417" t="s">
        <v>26</v>
      </c>
      <c r="J43" s="418"/>
      <c r="K43" s="419"/>
      <c r="L43" s="53" t="s">
        <v>33</v>
      </c>
      <c r="M43" s="54" t="s">
        <v>2</v>
      </c>
      <c r="N43" s="52" t="s">
        <v>15</v>
      </c>
      <c r="O43" s="55" t="s">
        <v>30</v>
      </c>
      <c r="P43" s="56" t="s">
        <v>13</v>
      </c>
      <c r="Q43" s="57" t="s">
        <v>31</v>
      </c>
    </row>
    <row r="44" spans="1:17" s="58" customFormat="1" ht="25.5" customHeight="1" thickBot="1" x14ac:dyDescent="0.25">
      <c r="A44" s="59"/>
      <c r="B44" s="60"/>
      <c r="C44" s="60"/>
      <c r="D44" s="60"/>
      <c r="E44" s="61" t="s">
        <v>43</v>
      </c>
      <c r="F44" s="61"/>
      <c r="G44" s="62" t="s">
        <v>32</v>
      </c>
      <c r="H44" s="61"/>
      <c r="I44" s="63" t="s">
        <v>27</v>
      </c>
      <c r="J44" s="63" t="s">
        <v>28</v>
      </c>
      <c r="K44" s="63" t="s">
        <v>29</v>
      </c>
      <c r="L44" s="62" t="s">
        <v>34</v>
      </c>
      <c r="M44" s="64" t="s">
        <v>35</v>
      </c>
      <c r="N44" s="61" t="s">
        <v>36</v>
      </c>
      <c r="O44" s="65" t="s">
        <v>37</v>
      </c>
      <c r="P44" s="66" t="s">
        <v>38</v>
      </c>
      <c r="Q44" s="67" t="s">
        <v>39</v>
      </c>
    </row>
    <row r="45" spans="1:17" ht="3.75" customHeight="1" x14ac:dyDescent="0.2">
      <c r="A45" s="68" t="s">
        <v>21</v>
      </c>
      <c r="B45" s="69" t="s">
        <v>21</v>
      </c>
      <c r="C45" s="69"/>
      <c r="D45" s="69" t="s">
        <v>21</v>
      </c>
      <c r="E45" s="69" t="s">
        <v>21</v>
      </c>
      <c r="F45" s="69" t="s">
        <v>21</v>
      </c>
      <c r="G45" s="70" t="s">
        <v>21</v>
      </c>
      <c r="H45" s="71" t="s">
        <v>21</v>
      </c>
      <c r="I45" s="72" t="s">
        <v>21</v>
      </c>
      <c r="J45" s="72" t="s">
        <v>21</v>
      </c>
      <c r="K45" s="72" t="s">
        <v>21</v>
      </c>
      <c r="L45" s="70" t="s">
        <v>21</v>
      </c>
      <c r="M45" s="73" t="s">
        <v>21</v>
      </c>
      <c r="N45" s="74" t="s">
        <v>21</v>
      </c>
      <c r="O45" s="75" t="s">
        <v>21</v>
      </c>
      <c r="P45" s="76" t="s">
        <v>21</v>
      </c>
      <c r="Q45" s="77" t="s">
        <v>21</v>
      </c>
    </row>
    <row r="46" spans="1:17" ht="24" customHeight="1" x14ac:dyDescent="0.2">
      <c r="A46" s="81">
        <f>A38+1</f>
        <v>17</v>
      </c>
      <c r="B46" s="82"/>
      <c r="C46" s="82"/>
      <c r="D46" s="82"/>
      <c r="E46" s="82" t="s">
        <v>156</v>
      </c>
      <c r="F46" s="82"/>
      <c r="G46" s="83">
        <f>IF($O$5="JA",SUM(G23:G39),0)</f>
        <v>263.33999999999997</v>
      </c>
      <c r="H46" s="302" t="s">
        <v>522</v>
      </c>
      <c r="I46" s="79">
        <f>VLOOKUP($H46,Leistungswerte!$A$8:$E$54,3,FALSE)</f>
        <v>0</v>
      </c>
      <c r="J46" s="79">
        <f>VLOOKUP($H46,Leistungswerte!$A$8:$E$54,4,FALSE)</f>
        <v>0</v>
      </c>
      <c r="K46" s="79">
        <f>VLOOKUP($H46,Leistungswerte!$A$8:$E$54,5,FALSE)</f>
        <v>1</v>
      </c>
      <c r="L46" s="83">
        <f>($G$5/$G$6*I46+J46*12+K46)*G46</f>
        <v>263.33999999999997</v>
      </c>
      <c r="M46" s="163">
        <f>VLOOKUP($H46,Leistungswerte!$A$8:$F$54,$P$2,FALSE)</f>
        <v>0</v>
      </c>
      <c r="N46" s="84">
        <f>IF(M46&lt;&gt;0,G46/M46/24,0)</f>
        <v>0</v>
      </c>
      <c r="O46" s="80">
        <f>IF(M46&lt;&gt;0,L46/M46,0)</f>
        <v>0</v>
      </c>
      <c r="P46" s="162">
        <f ca="1">SVS_GR</f>
        <v>0</v>
      </c>
      <c r="Q46" s="85">
        <f ca="1">O46*P46</f>
        <v>0</v>
      </c>
    </row>
    <row r="47" spans="1:17" ht="3.75" customHeight="1" thickBot="1" x14ac:dyDescent="0.25">
      <c r="A47" s="103"/>
      <c r="B47" s="104"/>
      <c r="C47" s="104"/>
      <c r="D47" s="104"/>
      <c r="E47" s="104"/>
      <c r="F47" s="104"/>
      <c r="G47" s="105"/>
      <c r="H47" s="106"/>
      <c r="I47" s="107"/>
      <c r="J47" s="107"/>
      <c r="K47" s="107"/>
      <c r="L47" s="105"/>
      <c r="M47" s="108"/>
      <c r="N47" s="104"/>
      <c r="O47" s="109"/>
      <c r="P47" s="110"/>
      <c r="Q47" s="111"/>
    </row>
    <row r="48" spans="1:17" s="46" customFormat="1" ht="25.5" customHeight="1" thickBot="1" x14ac:dyDescent="0.25">
      <c r="A48" s="40" t="s">
        <v>58</v>
      </c>
      <c r="B48" s="95"/>
      <c r="C48" s="95"/>
      <c r="D48" s="95"/>
      <c r="E48" s="95"/>
      <c r="F48" s="96"/>
      <c r="G48" s="97">
        <f>SUM(G46:G47)</f>
        <v>263.33999999999997</v>
      </c>
      <c r="H48" s="98"/>
      <c r="I48" s="99"/>
      <c r="J48" s="99"/>
      <c r="K48" s="99"/>
      <c r="L48" s="97">
        <f>SUM(L46:L47)</f>
        <v>263.33999999999997</v>
      </c>
      <c r="M48" s="100" t="e">
        <f>L48/O48</f>
        <v>#DIV/0!</v>
      </c>
      <c r="N48" s="95"/>
      <c r="O48" s="101">
        <f>SUM(O46:O47)</f>
        <v>0</v>
      </c>
      <c r="P48" s="102"/>
      <c r="Q48" s="220">
        <f ca="1">SUM(Q46:Q47)</f>
        <v>0</v>
      </c>
    </row>
    <row r="50" spans="5:15" ht="13.5" thickBot="1" x14ac:dyDescent="0.25"/>
    <row r="51" spans="5:15" ht="18" customHeight="1" thickBot="1" x14ac:dyDescent="0.25">
      <c r="E51" s="397" t="s">
        <v>155</v>
      </c>
      <c r="F51" s="398"/>
      <c r="G51" s="398"/>
      <c r="H51" s="398"/>
      <c r="I51" s="398"/>
      <c r="J51" s="398"/>
      <c r="K51" s="398"/>
      <c r="L51" s="398"/>
      <c r="M51" s="398"/>
      <c r="N51" s="398"/>
      <c r="O51" s="399"/>
    </row>
    <row r="52" spans="5:15" ht="18" customHeight="1" x14ac:dyDescent="0.2">
      <c r="E52" s="277" t="s">
        <v>225</v>
      </c>
      <c r="F52" s="400" t="s">
        <v>507</v>
      </c>
      <c r="G52" s="400"/>
      <c r="H52" s="400"/>
      <c r="I52" s="400"/>
      <c r="J52" s="400"/>
      <c r="K52" s="400"/>
      <c r="L52" s="400"/>
      <c r="M52" s="400"/>
      <c r="N52" s="400"/>
      <c r="O52" s="401"/>
    </row>
    <row r="53" spans="5:15" ht="18" customHeight="1" x14ac:dyDescent="0.2">
      <c r="E53" s="275" t="s">
        <v>226</v>
      </c>
      <c r="F53" s="388" t="s">
        <v>508</v>
      </c>
      <c r="G53" s="388"/>
      <c r="H53" s="388"/>
      <c r="I53" s="388"/>
      <c r="J53" s="388"/>
      <c r="K53" s="388"/>
      <c r="L53" s="388"/>
      <c r="M53" s="388"/>
      <c r="N53" s="388"/>
      <c r="O53" s="389"/>
    </row>
    <row r="54" spans="5:15" ht="18" customHeight="1" x14ac:dyDescent="0.2">
      <c r="E54" s="275" t="s">
        <v>227</v>
      </c>
      <c r="F54" s="388" t="s">
        <v>534</v>
      </c>
      <c r="G54" s="388"/>
      <c r="H54" s="388"/>
      <c r="I54" s="388"/>
      <c r="J54" s="388"/>
      <c r="K54" s="388"/>
      <c r="L54" s="388"/>
      <c r="M54" s="388"/>
      <c r="N54" s="388"/>
      <c r="O54" s="389"/>
    </row>
    <row r="55" spans="5:15" ht="18" customHeight="1" x14ac:dyDescent="0.2">
      <c r="E55" s="275" t="s">
        <v>228</v>
      </c>
      <c r="F55" s="388" t="s">
        <v>535</v>
      </c>
      <c r="G55" s="388"/>
      <c r="H55" s="388"/>
      <c r="I55" s="388"/>
      <c r="J55" s="388"/>
      <c r="K55" s="388"/>
      <c r="L55" s="388"/>
      <c r="M55" s="388"/>
      <c r="N55" s="388"/>
      <c r="O55" s="389"/>
    </row>
    <row r="56" spans="5:15" ht="18" customHeight="1" x14ac:dyDescent="0.2">
      <c r="E56" s="275" t="s">
        <v>229</v>
      </c>
      <c r="F56" s="388" t="s">
        <v>486</v>
      </c>
      <c r="G56" s="388"/>
      <c r="H56" s="388"/>
      <c r="I56" s="388"/>
      <c r="J56" s="388"/>
      <c r="K56" s="388"/>
      <c r="L56" s="388"/>
      <c r="M56" s="388"/>
      <c r="N56" s="388"/>
      <c r="O56" s="389"/>
    </row>
    <row r="57" spans="5:15" ht="18" customHeight="1" x14ac:dyDescent="0.2">
      <c r="E57" s="275" t="s">
        <v>230</v>
      </c>
      <c r="F57" s="388" t="s">
        <v>533</v>
      </c>
      <c r="G57" s="388"/>
      <c r="H57" s="388"/>
      <c r="I57" s="388"/>
      <c r="J57" s="388"/>
      <c r="K57" s="388"/>
      <c r="L57" s="388"/>
      <c r="M57" s="388"/>
      <c r="N57" s="388"/>
      <c r="O57" s="389"/>
    </row>
    <row r="58" spans="5:15" ht="18" customHeight="1" thickBot="1" x14ac:dyDescent="0.25">
      <c r="E58" s="276" t="s">
        <v>231</v>
      </c>
      <c r="F58" s="402" t="s">
        <v>475</v>
      </c>
      <c r="G58" s="402"/>
      <c r="H58" s="402"/>
      <c r="I58" s="402"/>
      <c r="J58" s="402"/>
      <c r="K58" s="402"/>
      <c r="L58" s="402"/>
      <c r="M58" s="402"/>
      <c r="N58" s="402"/>
      <c r="O58" s="403"/>
    </row>
  </sheetData>
  <sheetProtection algorithmName="SHA-512" hashValue="ZmAeDheHwZmkbC68oeoPKWrWqfPu4U9+dxkEMWaq5XyzGk3ObjMwwPT9/OWTEi10MzYGM7Kg9E1fWz3iO+sapg==" saltValue="cdN54TPjEJv1OevcP+QJEg==" spinCount="100000" sheet="1" autoFilter="0"/>
  <autoFilter ref="A21:Q38" xr:uid="{00000000-0009-0000-0000-000014000000}"/>
  <mergeCells count="12">
    <mergeCell ref="F58:O58"/>
    <mergeCell ref="E18:G18"/>
    <mergeCell ref="L18:O18"/>
    <mergeCell ref="I20:K20"/>
    <mergeCell ref="I43:K43"/>
    <mergeCell ref="E51:O51"/>
    <mergeCell ref="F52:O52"/>
    <mergeCell ref="F53:O53"/>
    <mergeCell ref="F54:O54"/>
    <mergeCell ref="F55:O55"/>
    <mergeCell ref="F56:O56"/>
    <mergeCell ref="F57:O57"/>
  </mergeCells>
  <conditionalFormatting sqref="O7:O16 I23:K38 I46:K46">
    <cfRule type="cellIs" dxfId="0" priority="1" stopIfTrue="1" operator="equal">
      <formula>0</formula>
    </cfRule>
  </conditionalFormatting>
  <hyperlinks>
    <hyperlink ref="E18:G18" location="Angebotsübersicht!A1" display="Zur Angebotsübersicht" xr:uid="{00000000-0004-0000-1400-000000000000}"/>
    <hyperlink ref="L18:O18" location="Leistungswerte!A1" display="Zu den Leistungswerten" xr:uid="{00000000-0004-0000-1400-000001000000}"/>
  </hyperlinks>
  <printOptions horizontalCentered="1"/>
  <pageMargins left="0.55118110236220474" right="0.35433070866141736" top="0.31496062992125984" bottom="0.51181102362204722" header="0.19685039370078741" footer="0.31496062992125984"/>
  <pageSetup paperSize="9" scale="67" fitToHeight="0" orientation="landscape" r:id="rId1"/>
  <headerFooter alignWithMargins="0">
    <oddFooter>&amp;L&amp;8Ausschreibung Unterhaltsreinigung
&amp;A&amp;R&amp;8© Lean Consulting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1847F-2491-47D4-90DA-FAD3A92F55D0}">
  <sheetPr>
    <pageSetUpPr autoPageBreaks="0" fitToPage="1"/>
  </sheetPr>
  <dimension ref="A1:J64"/>
  <sheetViews>
    <sheetView workbookViewId="0">
      <selection activeCell="D10" sqref="D10"/>
    </sheetView>
  </sheetViews>
  <sheetFormatPr baseColWidth="10" defaultColWidth="11.42578125" defaultRowHeight="14.25" x14ac:dyDescent="0.2"/>
  <cols>
    <col min="1" max="1" width="7.85546875" style="168" customWidth="1"/>
    <col min="2" max="2" width="60.7109375" style="169" customWidth="1"/>
    <col min="3" max="3" width="13.28515625" style="170" customWidth="1"/>
    <col min="4" max="4" width="13.28515625" style="171" customWidth="1"/>
    <col min="5" max="5" width="13.28515625" style="170" customWidth="1"/>
    <col min="6" max="6" width="13.28515625" style="171" customWidth="1"/>
    <col min="7" max="7" width="13.28515625" style="170" customWidth="1"/>
    <col min="8" max="8" width="13.28515625" style="171" customWidth="1"/>
    <col min="9" max="9" width="2.28515625" style="2" customWidth="1"/>
    <col min="10" max="16384" width="11.42578125" style="2"/>
  </cols>
  <sheetData>
    <row r="1" spans="1:8" ht="15.75" customHeight="1" thickBot="1" x14ac:dyDescent="0.25">
      <c r="A1" s="375" t="s">
        <v>134</v>
      </c>
      <c r="B1" s="376"/>
      <c r="C1" s="376" t="s">
        <v>7</v>
      </c>
      <c r="D1" s="377"/>
    </row>
    <row r="2" spans="1:8" ht="15" thickBot="1" x14ac:dyDescent="0.25"/>
    <row r="3" spans="1:8" ht="15.75" thickBot="1" x14ac:dyDescent="0.25">
      <c r="A3" s="188" t="s">
        <v>8</v>
      </c>
      <c r="B3" s="185"/>
      <c r="C3" s="378" t="str">
        <f>IF(Bieter&lt;&gt;"",Bieter,"Bietername fehlt !")</f>
        <v>Bietername fehlt !</v>
      </c>
      <c r="D3" s="379"/>
    </row>
    <row r="4" spans="1:8" ht="15" thickBot="1" x14ac:dyDescent="0.25"/>
    <row r="5" spans="1:8" x14ac:dyDescent="0.2">
      <c r="A5" s="181" t="s">
        <v>100</v>
      </c>
      <c r="B5" s="182"/>
      <c r="C5" s="241"/>
      <c r="D5" s="183"/>
      <c r="E5" s="241"/>
      <c r="F5" s="183"/>
      <c r="G5" s="241"/>
      <c r="H5" s="183"/>
    </row>
    <row r="6" spans="1:8" ht="13.9" customHeight="1" x14ac:dyDescent="0.2">
      <c r="A6" s="184" t="s">
        <v>538</v>
      </c>
      <c r="B6" s="185"/>
      <c r="C6" s="371" t="s">
        <v>198</v>
      </c>
      <c r="D6" s="372"/>
      <c r="E6" s="371" t="s">
        <v>552</v>
      </c>
      <c r="F6" s="372"/>
      <c r="G6" s="371" t="s">
        <v>553</v>
      </c>
      <c r="H6" s="372"/>
    </row>
    <row r="7" spans="1:8" ht="15" thickBot="1" x14ac:dyDescent="0.25">
      <c r="A7" s="186"/>
      <c r="B7" s="187"/>
      <c r="C7" s="373"/>
      <c r="D7" s="374"/>
      <c r="E7" s="373"/>
      <c r="F7" s="374"/>
      <c r="G7" s="373"/>
      <c r="H7" s="374"/>
    </row>
    <row r="9" spans="1:8" s="167" customFormat="1" ht="15" x14ac:dyDescent="0.25">
      <c r="A9" s="172" t="s">
        <v>0</v>
      </c>
      <c r="B9" s="173" t="s">
        <v>96</v>
      </c>
      <c r="C9" s="174" t="s">
        <v>97</v>
      </c>
      <c r="D9" s="175" t="s">
        <v>98</v>
      </c>
      <c r="E9" s="174" t="s">
        <v>97</v>
      </c>
      <c r="F9" s="175" t="s">
        <v>98</v>
      </c>
      <c r="G9" s="174" t="s">
        <v>97</v>
      </c>
      <c r="H9" s="175" t="s">
        <v>98</v>
      </c>
    </row>
    <row r="10" spans="1:8" ht="15" x14ac:dyDescent="0.2">
      <c r="A10" s="177" t="s">
        <v>99</v>
      </c>
      <c r="B10" s="178" t="s">
        <v>539</v>
      </c>
      <c r="C10" s="179">
        <v>1</v>
      </c>
      <c r="D10" s="192">
        <v>0</v>
      </c>
      <c r="E10" s="179">
        <v>1</v>
      </c>
      <c r="F10" s="192">
        <f>D10</f>
        <v>0</v>
      </c>
      <c r="G10" s="179">
        <v>1</v>
      </c>
      <c r="H10" s="338">
        <f>D10</f>
        <v>0</v>
      </c>
    </row>
    <row r="11" spans="1:8" ht="15" x14ac:dyDescent="0.2">
      <c r="A11" s="172" t="s">
        <v>101</v>
      </c>
      <c r="B11" s="173" t="s">
        <v>102</v>
      </c>
    </row>
    <row r="12" spans="1:8" ht="15" x14ac:dyDescent="0.2">
      <c r="A12" s="172" t="s">
        <v>103</v>
      </c>
      <c r="B12" s="173" t="s">
        <v>554</v>
      </c>
    </row>
    <row r="13" spans="1:8" x14ac:dyDescent="0.2">
      <c r="A13" s="168" t="s">
        <v>555</v>
      </c>
      <c r="B13" s="176" t="s">
        <v>556</v>
      </c>
      <c r="C13" s="339">
        <v>0</v>
      </c>
      <c r="D13" s="171">
        <f>C13*$D$10</f>
        <v>0</v>
      </c>
      <c r="E13" s="339">
        <v>0</v>
      </c>
      <c r="F13" s="171">
        <f>E13*$F$10</f>
        <v>0</v>
      </c>
      <c r="G13" s="221"/>
      <c r="H13" s="171" t="s">
        <v>195</v>
      </c>
    </row>
    <row r="14" spans="1:8" x14ac:dyDescent="0.2">
      <c r="A14" s="168" t="s">
        <v>557</v>
      </c>
      <c r="B14" s="176" t="s">
        <v>191</v>
      </c>
      <c r="C14" s="221"/>
      <c r="D14" s="171" t="s">
        <v>195</v>
      </c>
      <c r="E14" s="221"/>
      <c r="F14" s="171" t="s">
        <v>195</v>
      </c>
      <c r="G14" s="339">
        <v>0</v>
      </c>
      <c r="H14" s="171">
        <f>G14*$H$10</f>
        <v>0</v>
      </c>
    </row>
    <row r="15" spans="1:8" x14ac:dyDescent="0.2">
      <c r="A15" s="168" t="s">
        <v>558</v>
      </c>
      <c r="B15" s="176" t="s">
        <v>559</v>
      </c>
      <c r="C15" s="339">
        <v>0</v>
      </c>
      <c r="D15" s="171">
        <f>C15*$D$10</f>
        <v>0</v>
      </c>
      <c r="E15" s="339">
        <v>0</v>
      </c>
      <c r="F15" s="171">
        <f>E15*$F$10</f>
        <v>0</v>
      </c>
      <c r="G15" s="221"/>
      <c r="H15" s="171" t="s">
        <v>195</v>
      </c>
    </row>
    <row r="16" spans="1:8" x14ac:dyDescent="0.2">
      <c r="A16" s="168" t="s">
        <v>560</v>
      </c>
      <c r="B16" s="176" t="s">
        <v>190</v>
      </c>
      <c r="C16" s="221"/>
      <c r="D16" s="171" t="s">
        <v>195</v>
      </c>
      <c r="E16" s="221"/>
      <c r="F16" s="171" t="s">
        <v>195</v>
      </c>
      <c r="G16" s="339">
        <v>0</v>
      </c>
      <c r="H16" s="171">
        <f>G16*$H$10</f>
        <v>0</v>
      </c>
    </row>
    <row r="17" spans="1:8" x14ac:dyDescent="0.2">
      <c r="A17" s="168" t="s">
        <v>104</v>
      </c>
      <c r="B17" s="176" t="s">
        <v>561</v>
      </c>
      <c r="C17" s="339">
        <v>0</v>
      </c>
      <c r="D17" s="171">
        <f t="shared" ref="D17:D27" si="0">C17*$D$10</f>
        <v>0</v>
      </c>
      <c r="E17" s="339">
        <v>0</v>
      </c>
      <c r="F17" s="171">
        <f>E17*$F$10</f>
        <v>0</v>
      </c>
      <c r="G17" s="221"/>
      <c r="H17" s="171" t="s">
        <v>195</v>
      </c>
    </row>
    <row r="18" spans="1:8" x14ac:dyDescent="0.2">
      <c r="A18" s="168" t="s">
        <v>160</v>
      </c>
      <c r="B18" s="176" t="s">
        <v>562</v>
      </c>
      <c r="C18" s="339">
        <v>0</v>
      </c>
      <c r="D18" s="171">
        <f t="shared" si="0"/>
        <v>0</v>
      </c>
      <c r="E18" s="339">
        <v>0</v>
      </c>
      <c r="F18" s="171">
        <f>E18*$F$10</f>
        <v>0</v>
      </c>
      <c r="G18" s="221"/>
      <c r="H18" s="171" t="s">
        <v>195</v>
      </c>
    </row>
    <row r="19" spans="1:8" x14ac:dyDescent="0.2">
      <c r="A19" s="168" t="s">
        <v>107</v>
      </c>
      <c r="B19" s="176" t="s">
        <v>563</v>
      </c>
      <c r="C19" s="339">
        <v>0</v>
      </c>
      <c r="D19" s="171">
        <f t="shared" si="0"/>
        <v>0</v>
      </c>
      <c r="E19" s="339">
        <v>0</v>
      </c>
      <c r="F19" s="171">
        <f>E19*$F$10</f>
        <v>0</v>
      </c>
      <c r="G19" s="339">
        <v>0</v>
      </c>
      <c r="H19" s="171">
        <f>G19*$H$10</f>
        <v>0</v>
      </c>
    </row>
    <row r="20" spans="1:8" x14ac:dyDescent="0.2">
      <c r="A20" s="168" t="s">
        <v>108</v>
      </c>
      <c r="B20" s="176" t="s">
        <v>564</v>
      </c>
      <c r="C20" s="339">
        <v>0</v>
      </c>
      <c r="D20" s="171">
        <f>C20*$D$10</f>
        <v>0</v>
      </c>
      <c r="E20" s="339">
        <v>0</v>
      </c>
      <c r="F20" s="171">
        <f>E20*$F$10</f>
        <v>0</v>
      </c>
      <c r="G20" s="339">
        <f>E20</f>
        <v>0</v>
      </c>
      <c r="H20" s="171">
        <f>G20*$H$10</f>
        <v>0</v>
      </c>
    </row>
    <row r="21" spans="1:8" x14ac:dyDescent="0.2">
      <c r="A21" s="168" t="s">
        <v>109</v>
      </c>
      <c r="B21" s="176" t="s">
        <v>112</v>
      </c>
      <c r="C21" s="339">
        <v>0</v>
      </c>
      <c r="D21" s="171">
        <f>C21*$D$10</f>
        <v>0</v>
      </c>
      <c r="E21" s="339">
        <v>0</v>
      </c>
      <c r="F21" s="171">
        <f>E21*$F$10</f>
        <v>0</v>
      </c>
      <c r="G21" s="339">
        <f>E21</f>
        <v>0</v>
      </c>
      <c r="H21" s="171">
        <f>G21*$H$10</f>
        <v>0</v>
      </c>
    </row>
    <row r="22" spans="1:8" ht="15" customHeight="1" x14ac:dyDescent="0.2">
      <c r="A22" s="334">
        <f ca="1">IF(SVS_GLR-TODAY()&gt;0,D62,RT_allgemein)</f>
        <v>0</v>
      </c>
      <c r="B22" s="178" t="s">
        <v>565</v>
      </c>
      <c r="C22" s="179">
        <f t="shared" ref="C22:H22" si="1">SUM(C13:C21)</f>
        <v>0</v>
      </c>
      <c r="D22" s="180">
        <f t="shared" si="1"/>
        <v>0</v>
      </c>
      <c r="E22" s="179">
        <f t="shared" si="1"/>
        <v>0</v>
      </c>
      <c r="F22" s="180">
        <f t="shared" si="1"/>
        <v>0</v>
      </c>
      <c r="G22" s="179">
        <f t="shared" si="1"/>
        <v>0</v>
      </c>
      <c r="H22" s="180">
        <f t="shared" si="1"/>
        <v>0</v>
      </c>
    </row>
    <row r="23" spans="1:8" ht="15" x14ac:dyDescent="0.2">
      <c r="A23" s="172" t="s">
        <v>110</v>
      </c>
      <c r="B23" s="173" t="s">
        <v>566</v>
      </c>
    </row>
    <row r="24" spans="1:8" x14ac:dyDescent="0.2">
      <c r="A24" s="168" t="s">
        <v>192</v>
      </c>
      <c r="B24" s="176" t="s">
        <v>154</v>
      </c>
      <c r="C24" s="339">
        <v>0</v>
      </c>
      <c r="D24" s="171">
        <f t="shared" ref="D24:D25" si="2">C24*$D$10</f>
        <v>0</v>
      </c>
      <c r="E24" s="339">
        <f>C24</f>
        <v>0</v>
      </c>
      <c r="F24" s="171">
        <f>E24*$F$10</f>
        <v>0</v>
      </c>
      <c r="G24" s="339">
        <f>E24</f>
        <v>0</v>
      </c>
      <c r="H24" s="171">
        <f>G24*$H$10</f>
        <v>0</v>
      </c>
    </row>
    <row r="25" spans="1:8" x14ac:dyDescent="0.2">
      <c r="A25" s="168" t="s">
        <v>193</v>
      </c>
      <c r="B25" s="176" t="s">
        <v>106</v>
      </c>
      <c r="C25" s="339">
        <v>0</v>
      </c>
      <c r="D25" s="171">
        <f t="shared" si="2"/>
        <v>0</v>
      </c>
      <c r="E25" s="339">
        <f>C25</f>
        <v>0</v>
      </c>
      <c r="F25" s="171">
        <f>E25*$F$10</f>
        <v>0</v>
      </c>
      <c r="G25" s="339">
        <f>E25</f>
        <v>0</v>
      </c>
      <c r="H25" s="171">
        <f>G25*$H$10</f>
        <v>0</v>
      </c>
    </row>
    <row r="26" spans="1:8" x14ac:dyDescent="0.2">
      <c r="A26" s="168" t="s">
        <v>194</v>
      </c>
      <c r="B26" s="176" t="s">
        <v>105</v>
      </c>
      <c r="C26" s="339">
        <v>0</v>
      </c>
      <c r="D26" s="171">
        <f t="shared" si="0"/>
        <v>0</v>
      </c>
      <c r="E26" s="339">
        <f>C26</f>
        <v>0</v>
      </c>
      <c r="F26" s="171">
        <f>E26*$F$10</f>
        <v>0</v>
      </c>
      <c r="G26" s="339">
        <f>E26</f>
        <v>0</v>
      </c>
      <c r="H26" s="171">
        <f>G26*$H$10</f>
        <v>0</v>
      </c>
    </row>
    <row r="27" spans="1:8" x14ac:dyDescent="0.2">
      <c r="A27" s="168" t="s">
        <v>540</v>
      </c>
      <c r="B27" s="176" t="s">
        <v>567</v>
      </c>
      <c r="C27" s="339">
        <v>0</v>
      </c>
      <c r="D27" s="171">
        <f t="shared" si="0"/>
        <v>0</v>
      </c>
      <c r="E27" s="339">
        <f>C27</f>
        <v>0</v>
      </c>
      <c r="F27" s="171">
        <f>E27*$F$10</f>
        <v>0</v>
      </c>
      <c r="G27" s="339">
        <f>E27</f>
        <v>0</v>
      </c>
      <c r="H27" s="171">
        <f>G27*$H$10</f>
        <v>0</v>
      </c>
    </row>
    <row r="28" spans="1:8" x14ac:dyDescent="0.2">
      <c r="A28" s="168" t="s">
        <v>568</v>
      </c>
      <c r="B28" s="176" t="s">
        <v>159</v>
      </c>
      <c r="C28" s="339">
        <v>0</v>
      </c>
      <c r="D28" s="171">
        <f>C28*$D$10</f>
        <v>0</v>
      </c>
      <c r="E28" s="339">
        <f>C28</f>
        <v>0</v>
      </c>
      <c r="F28" s="171">
        <f>E28*$F$10</f>
        <v>0</v>
      </c>
      <c r="G28" s="339">
        <f>E28</f>
        <v>0</v>
      </c>
      <c r="H28" s="171">
        <f>G28*$H$10</f>
        <v>0</v>
      </c>
    </row>
    <row r="29" spans="1:8" ht="28.5" x14ac:dyDescent="0.2">
      <c r="A29" s="168" t="s">
        <v>568</v>
      </c>
      <c r="B29" s="169" t="s">
        <v>569</v>
      </c>
      <c r="C29" s="221">
        <f>IF($D$10&lt;&gt;0,D29/$D$10,0)</f>
        <v>0</v>
      </c>
      <c r="D29" s="171">
        <f>SUM(D24:D28)*C22</f>
        <v>0</v>
      </c>
      <c r="E29" s="221">
        <f>IF($F$10&lt;&gt;0,F29/$F$10,0)</f>
        <v>0</v>
      </c>
      <c r="F29" s="171">
        <f>SUM(F24:F28)*E22</f>
        <v>0</v>
      </c>
      <c r="G29" s="221">
        <f>IF($F$10&lt;&gt;0,H29/$F$10,0)</f>
        <v>0</v>
      </c>
      <c r="H29" s="171">
        <f>SUM(H24:H28)*G22</f>
        <v>0</v>
      </c>
    </row>
    <row r="30" spans="1:8" ht="15" x14ac:dyDescent="0.2">
      <c r="A30" s="189"/>
      <c r="B30" s="178" t="s">
        <v>570</v>
      </c>
      <c r="C30" s="179">
        <f>IF($D$10&lt;&gt;0,D30/$D$10,0)</f>
        <v>0</v>
      </c>
      <c r="D30" s="180">
        <f>SUM(D24:D29)</f>
        <v>0</v>
      </c>
      <c r="E30" s="179">
        <f>IF($D$10&lt;&gt;0,F30/$D$10,0)</f>
        <v>0</v>
      </c>
      <c r="F30" s="180">
        <f>SUM(F24:F29)</f>
        <v>0</v>
      </c>
      <c r="G30" s="179">
        <f>IF($D$10&lt;&gt;0,H30/$D$10,0)</f>
        <v>0</v>
      </c>
      <c r="H30" s="180">
        <f>SUM(H24:H29)</f>
        <v>0</v>
      </c>
    </row>
    <row r="31" spans="1:8" ht="15" x14ac:dyDescent="0.2">
      <c r="A31" s="189"/>
      <c r="B31" s="178" t="s">
        <v>571</v>
      </c>
      <c r="C31" s="179" t="e">
        <f>D31/D10</f>
        <v>#DIV/0!</v>
      </c>
      <c r="D31" s="180">
        <f>D22+D30</f>
        <v>0</v>
      </c>
      <c r="E31" s="179" t="e">
        <f>F31/F10</f>
        <v>#DIV/0!</v>
      </c>
      <c r="F31" s="180">
        <f>F22+F30</f>
        <v>0</v>
      </c>
      <c r="G31" s="179" t="e">
        <f>H31/H10</f>
        <v>#DIV/0!</v>
      </c>
      <c r="H31" s="180">
        <f>H22+H30</f>
        <v>0</v>
      </c>
    </row>
    <row r="32" spans="1:8" ht="15" x14ac:dyDescent="0.2">
      <c r="A32" s="172" t="s">
        <v>111</v>
      </c>
      <c r="B32" s="173" t="s">
        <v>572</v>
      </c>
    </row>
    <row r="33" spans="1:8" x14ac:dyDescent="0.2">
      <c r="A33" s="168" t="s">
        <v>573</v>
      </c>
      <c r="B33" s="176" t="s">
        <v>114</v>
      </c>
      <c r="C33" s="339">
        <v>0</v>
      </c>
      <c r="D33" s="171">
        <f t="shared" ref="D33:D34" si="3">C33*$D$10</f>
        <v>0</v>
      </c>
      <c r="E33" s="339">
        <f>C33</f>
        <v>0</v>
      </c>
      <c r="F33" s="171">
        <f>E33*$F$10</f>
        <v>0</v>
      </c>
      <c r="G33" s="339">
        <f>E33</f>
        <v>0</v>
      </c>
      <c r="H33" s="171">
        <f>G33*$H$10</f>
        <v>0</v>
      </c>
    </row>
    <row r="34" spans="1:8" x14ac:dyDescent="0.2">
      <c r="A34" s="168" t="s">
        <v>574</v>
      </c>
      <c r="B34" s="176" t="s">
        <v>575</v>
      </c>
      <c r="C34" s="339">
        <v>0</v>
      </c>
      <c r="D34" s="171">
        <f t="shared" si="3"/>
        <v>0</v>
      </c>
      <c r="E34" s="339">
        <f>C34</f>
        <v>0</v>
      </c>
      <c r="F34" s="171">
        <f>E34*$F$10</f>
        <v>0</v>
      </c>
      <c r="G34" s="339">
        <f>E34</f>
        <v>0</v>
      </c>
      <c r="H34" s="171">
        <f>G34*$H$10</f>
        <v>0</v>
      </c>
    </row>
    <row r="35" spans="1:8" ht="15" x14ac:dyDescent="0.2">
      <c r="A35" s="189"/>
      <c r="B35" s="178" t="s">
        <v>576</v>
      </c>
      <c r="C35" s="179" t="e">
        <f t="shared" ref="C35:H35" si="4">SUM(C31:C34)</f>
        <v>#DIV/0!</v>
      </c>
      <c r="D35" s="180">
        <f t="shared" si="4"/>
        <v>0</v>
      </c>
      <c r="E35" s="179" t="e">
        <f t="shared" si="4"/>
        <v>#DIV/0!</v>
      </c>
      <c r="F35" s="180">
        <f t="shared" si="4"/>
        <v>0</v>
      </c>
      <c r="G35" s="179" t="e">
        <f t="shared" si="4"/>
        <v>#DIV/0!</v>
      </c>
      <c r="H35" s="180">
        <f t="shared" si="4"/>
        <v>0</v>
      </c>
    </row>
    <row r="36" spans="1:8" ht="15" x14ac:dyDescent="0.2">
      <c r="A36" s="172" t="s">
        <v>115</v>
      </c>
      <c r="B36" s="173" t="s">
        <v>577</v>
      </c>
    </row>
    <row r="37" spans="1:8" x14ac:dyDescent="0.2">
      <c r="A37" s="168" t="s">
        <v>118</v>
      </c>
      <c r="B37" s="176" t="s">
        <v>578</v>
      </c>
      <c r="C37" s="339">
        <v>0</v>
      </c>
      <c r="D37" s="171">
        <f>C37*$D$10</f>
        <v>0</v>
      </c>
      <c r="E37" s="339">
        <f>C37</f>
        <v>0</v>
      </c>
      <c r="F37" s="171">
        <f>E37*$F$10</f>
        <v>0</v>
      </c>
      <c r="G37" s="339">
        <f>E37</f>
        <v>0</v>
      </c>
      <c r="H37" s="171">
        <f>G37*$H$10</f>
        <v>0</v>
      </c>
    </row>
    <row r="38" spans="1:8" x14ac:dyDescent="0.2">
      <c r="A38" s="168" t="s">
        <v>119</v>
      </c>
      <c r="B38" s="169" t="s">
        <v>579</v>
      </c>
      <c r="C38" s="339">
        <v>0</v>
      </c>
      <c r="D38" s="171">
        <f>C38*$D$10</f>
        <v>0</v>
      </c>
      <c r="E38" s="339">
        <f>C38</f>
        <v>0</v>
      </c>
      <c r="F38" s="171">
        <f>E38*$F$10</f>
        <v>0</v>
      </c>
      <c r="G38" s="339">
        <f>E38</f>
        <v>0</v>
      </c>
      <c r="H38" s="171">
        <f>G38*$H$10</f>
        <v>0</v>
      </c>
    </row>
    <row r="39" spans="1:8" x14ac:dyDescent="0.2">
      <c r="A39" s="168" t="s">
        <v>580</v>
      </c>
      <c r="B39" s="169" t="s">
        <v>116</v>
      </c>
      <c r="C39" s="339">
        <v>0</v>
      </c>
      <c r="D39" s="171">
        <f t="shared" ref="D39:D41" si="5">C39*$D$10</f>
        <v>0</v>
      </c>
      <c r="E39" s="339">
        <f>C39</f>
        <v>0</v>
      </c>
      <c r="F39" s="171">
        <f>E39*$F$10</f>
        <v>0</v>
      </c>
      <c r="G39" s="339">
        <f>E39</f>
        <v>0</v>
      </c>
      <c r="H39" s="171">
        <f>G39*$H$10</f>
        <v>0</v>
      </c>
    </row>
    <row r="40" spans="1:8" x14ac:dyDescent="0.2">
      <c r="A40" s="168" t="s">
        <v>581</v>
      </c>
      <c r="B40" s="169" t="s">
        <v>582</v>
      </c>
      <c r="C40" s="339">
        <v>0</v>
      </c>
      <c r="D40" s="171">
        <f t="shared" si="5"/>
        <v>0</v>
      </c>
      <c r="E40" s="339">
        <f>C40</f>
        <v>0</v>
      </c>
      <c r="F40" s="171">
        <f>E40*$F$10</f>
        <v>0</v>
      </c>
      <c r="G40" s="339">
        <f>E40</f>
        <v>0</v>
      </c>
      <c r="H40" s="171">
        <f>G40*$H$10</f>
        <v>0</v>
      </c>
    </row>
    <row r="41" spans="1:8" x14ac:dyDescent="0.2">
      <c r="A41" s="168" t="s">
        <v>161</v>
      </c>
      <c r="B41" s="169" t="s">
        <v>117</v>
      </c>
      <c r="C41" s="339">
        <v>0</v>
      </c>
      <c r="D41" s="171">
        <f t="shared" si="5"/>
        <v>0</v>
      </c>
      <c r="E41" s="339">
        <f>C41</f>
        <v>0</v>
      </c>
      <c r="F41" s="171">
        <f>E41*$F$10</f>
        <v>0</v>
      </c>
      <c r="G41" s="339">
        <f>E41</f>
        <v>0</v>
      </c>
      <c r="H41" s="171">
        <f>G41*$H$10</f>
        <v>0</v>
      </c>
    </row>
    <row r="42" spans="1:8" ht="15" x14ac:dyDescent="0.2">
      <c r="A42" s="189"/>
      <c r="B42" s="178" t="s">
        <v>583</v>
      </c>
      <c r="C42" s="179">
        <f t="shared" ref="C42:H42" si="6">SUM(C37:C41)</f>
        <v>0</v>
      </c>
      <c r="D42" s="180">
        <f t="shared" si="6"/>
        <v>0</v>
      </c>
      <c r="E42" s="179">
        <f t="shared" si="6"/>
        <v>0</v>
      </c>
      <c r="F42" s="180">
        <f t="shared" si="6"/>
        <v>0</v>
      </c>
      <c r="G42" s="179">
        <f t="shared" si="6"/>
        <v>0</v>
      </c>
      <c r="H42" s="180">
        <f t="shared" si="6"/>
        <v>0</v>
      </c>
    </row>
    <row r="43" spans="1:8" ht="15" x14ac:dyDescent="0.2">
      <c r="A43" s="172" t="s">
        <v>120</v>
      </c>
      <c r="B43" s="173" t="s">
        <v>121</v>
      </c>
    </row>
    <row r="44" spans="1:8" x14ac:dyDescent="0.2">
      <c r="A44" s="168" t="s">
        <v>584</v>
      </c>
      <c r="B44" s="169" t="s">
        <v>122</v>
      </c>
      <c r="C44" s="339">
        <v>0</v>
      </c>
      <c r="D44" s="171">
        <f t="shared" ref="D44:D53" si="7">C44*$D$10</f>
        <v>0</v>
      </c>
      <c r="E44" s="339">
        <f>C44</f>
        <v>0</v>
      </c>
      <c r="F44" s="171">
        <f t="shared" ref="F44:F53" si="8">E44*$F$10</f>
        <v>0</v>
      </c>
      <c r="G44" s="339">
        <f>E44</f>
        <v>0</v>
      </c>
      <c r="H44" s="171">
        <f t="shared" ref="H44:H53" si="9">G44*$H$10</f>
        <v>0</v>
      </c>
    </row>
    <row r="45" spans="1:8" x14ac:dyDescent="0.2">
      <c r="A45" s="168" t="s">
        <v>585</v>
      </c>
      <c r="B45" s="169" t="s">
        <v>181</v>
      </c>
      <c r="C45" s="339">
        <v>0</v>
      </c>
      <c r="D45" s="171">
        <f t="shared" si="7"/>
        <v>0</v>
      </c>
      <c r="E45" s="339">
        <f t="shared" ref="E45:E53" si="10">C45</f>
        <v>0</v>
      </c>
      <c r="F45" s="171">
        <f t="shared" si="8"/>
        <v>0</v>
      </c>
      <c r="G45" s="339">
        <f t="shared" ref="G45:G48" si="11">E45</f>
        <v>0</v>
      </c>
      <c r="H45" s="171">
        <f t="shared" si="9"/>
        <v>0</v>
      </c>
    </row>
    <row r="46" spans="1:8" x14ac:dyDescent="0.2">
      <c r="A46" s="168" t="s">
        <v>123</v>
      </c>
      <c r="B46" s="169" t="s">
        <v>128</v>
      </c>
      <c r="C46" s="339">
        <v>0</v>
      </c>
      <c r="D46" s="171">
        <f t="shared" si="7"/>
        <v>0</v>
      </c>
      <c r="E46" s="339">
        <f t="shared" si="10"/>
        <v>0</v>
      </c>
      <c r="F46" s="171">
        <f t="shared" si="8"/>
        <v>0</v>
      </c>
      <c r="G46" s="339">
        <f t="shared" si="11"/>
        <v>0</v>
      </c>
      <c r="H46" s="171">
        <f t="shared" si="9"/>
        <v>0</v>
      </c>
    </row>
    <row r="47" spans="1:8" x14ac:dyDescent="0.2">
      <c r="A47" s="168" t="s">
        <v>586</v>
      </c>
      <c r="B47" s="169" t="s">
        <v>587</v>
      </c>
      <c r="C47" s="339">
        <v>0</v>
      </c>
      <c r="D47" s="171">
        <f t="shared" si="7"/>
        <v>0</v>
      </c>
      <c r="E47" s="339">
        <f t="shared" si="10"/>
        <v>0</v>
      </c>
      <c r="F47" s="171">
        <f t="shared" si="8"/>
        <v>0</v>
      </c>
      <c r="G47" s="339">
        <f t="shared" si="11"/>
        <v>0</v>
      </c>
      <c r="H47" s="171">
        <f t="shared" si="9"/>
        <v>0</v>
      </c>
    </row>
    <row r="48" spans="1:8" x14ac:dyDescent="0.2">
      <c r="A48" s="168" t="s">
        <v>588</v>
      </c>
      <c r="B48" s="169" t="s">
        <v>589</v>
      </c>
      <c r="C48" s="339">
        <v>0</v>
      </c>
      <c r="D48" s="171">
        <f t="shared" si="7"/>
        <v>0</v>
      </c>
      <c r="E48" s="339">
        <f t="shared" si="10"/>
        <v>0</v>
      </c>
      <c r="F48" s="171">
        <f t="shared" si="8"/>
        <v>0</v>
      </c>
      <c r="G48" s="339">
        <f t="shared" si="11"/>
        <v>0</v>
      </c>
      <c r="H48" s="171">
        <f t="shared" si="9"/>
        <v>0</v>
      </c>
    </row>
    <row r="49" spans="1:10" x14ac:dyDescent="0.2">
      <c r="A49" s="168" t="s">
        <v>124</v>
      </c>
      <c r="B49" s="176" t="s">
        <v>113</v>
      </c>
      <c r="C49" s="339">
        <v>0</v>
      </c>
      <c r="D49" s="171">
        <f>C49*$D$10</f>
        <v>0</v>
      </c>
      <c r="E49" s="339">
        <f>C49</f>
        <v>0</v>
      </c>
      <c r="F49" s="171">
        <f>E49*$F$10</f>
        <v>0</v>
      </c>
      <c r="G49" s="339">
        <f>E49</f>
        <v>0</v>
      </c>
      <c r="H49" s="171">
        <f t="shared" si="9"/>
        <v>0</v>
      </c>
    </row>
    <row r="50" spans="1:10" x14ac:dyDescent="0.2">
      <c r="A50" s="168" t="s">
        <v>125</v>
      </c>
      <c r="B50" s="176" t="s">
        <v>590</v>
      </c>
      <c r="C50" s="339">
        <v>0</v>
      </c>
      <c r="D50" s="171">
        <f>C50*$D$10</f>
        <v>0</v>
      </c>
      <c r="E50" s="339">
        <f>C50</f>
        <v>0</v>
      </c>
      <c r="F50" s="171">
        <f>E50*$F$10</f>
        <v>0</v>
      </c>
      <c r="G50" s="339">
        <f>E50</f>
        <v>0</v>
      </c>
      <c r="H50" s="171">
        <f t="shared" si="9"/>
        <v>0</v>
      </c>
    </row>
    <row r="51" spans="1:10" x14ac:dyDescent="0.2">
      <c r="A51" s="168" t="s">
        <v>126</v>
      </c>
      <c r="B51" s="169" t="s">
        <v>129</v>
      </c>
      <c r="C51" s="339">
        <v>0</v>
      </c>
      <c r="D51" s="171">
        <f t="shared" si="7"/>
        <v>0</v>
      </c>
      <c r="E51" s="339">
        <f t="shared" si="10"/>
        <v>0</v>
      </c>
      <c r="F51" s="171">
        <f t="shared" si="8"/>
        <v>0</v>
      </c>
      <c r="G51" s="339">
        <f t="shared" ref="G51" si="12">E51</f>
        <v>0</v>
      </c>
      <c r="H51" s="171">
        <f t="shared" si="9"/>
        <v>0</v>
      </c>
    </row>
    <row r="52" spans="1:10" x14ac:dyDescent="0.2">
      <c r="A52" s="168" t="s">
        <v>127</v>
      </c>
      <c r="B52" s="169" t="s">
        <v>591</v>
      </c>
      <c r="C52" s="339">
        <v>0</v>
      </c>
      <c r="D52" s="171">
        <f>C52*$D$10</f>
        <v>0</v>
      </c>
      <c r="E52" s="339">
        <f>C52</f>
        <v>0</v>
      </c>
      <c r="F52" s="171">
        <f>E52*$F$10</f>
        <v>0</v>
      </c>
      <c r="G52" s="339">
        <f>E52</f>
        <v>0</v>
      </c>
      <c r="H52" s="171">
        <f t="shared" si="9"/>
        <v>0</v>
      </c>
    </row>
    <row r="53" spans="1:10" x14ac:dyDescent="0.2">
      <c r="A53" s="168" t="s">
        <v>162</v>
      </c>
      <c r="B53" s="169" t="s">
        <v>592</v>
      </c>
      <c r="C53" s="339">
        <v>0</v>
      </c>
      <c r="D53" s="171">
        <f t="shared" si="7"/>
        <v>0</v>
      </c>
      <c r="E53" s="339">
        <f t="shared" si="10"/>
        <v>0</v>
      </c>
      <c r="F53" s="171">
        <f t="shared" si="8"/>
        <v>0</v>
      </c>
      <c r="G53" s="339">
        <f t="shared" ref="G53" si="13">E53</f>
        <v>0</v>
      </c>
      <c r="H53" s="171">
        <f t="shared" si="9"/>
        <v>0</v>
      </c>
    </row>
    <row r="54" spans="1:10" ht="15" x14ac:dyDescent="0.2">
      <c r="A54" s="189"/>
      <c r="B54" s="178" t="s">
        <v>593</v>
      </c>
      <c r="C54" s="179">
        <f t="shared" ref="C54:H54" si="14">SUM(C44:C53)</f>
        <v>0</v>
      </c>
      <c r="D54" s="180">
        <f t="shared" si="14"/>
        <v>0</v>
      </c>
      <c r="E54" s="179">
        <f t="shared" si="14"/>
        <v>0</v>
      </c>
      <c r="F54" s="180">
        <f t="shared" si="14"/>
        <v>0</v>
      </c>
      <c r="G54" s="179">
        <f t="shared" si="14"/>
        <v>0</v>
      </c>
      <c r="H54" s="180">
        <f t="shared" si="14"/>
        <v>0</v>
      </c>
    </row>
    <row r="55" spans="1:10" ht="15" x14ac:dyDescent="0.2">
      <c r="A55" s="172" t="s">
        <v>130</v>
      </c>
      <c r="B55" s="173" t="s">
        <v>131</v>
      </c>
      <c r="C55" s="170" t="e">
        <f>D55/$D$10</f>
        <v>#DIV/0!</v>
      </c>
      <c r="D55" s="171">
        <f>D10+D35+D42+D54</f>
        <v>0</v>
      </c>
      <c r="E55" s="170" t="e">
        <f>F55/$F$10</f>
        <v>#DIV/0!</v>
      </c>
      <c r="F55" s="171">
        <f>F10+F35+F42+F54</f>
        <v>0</v>
      </c>
      <c r="G55" s="170" t="e">
        <f>H55/$F$10</f>
        <v>#DIV/0!</v>
      </c>
      <c r="H55" s="171">
        <f>H10+H35+H42+H54</f>
        <v>0</v>
      </c>
    </row>
    <row r="56" spans="1:10" ht="29.25" x14ac:dyDescent="0.2">
      <c r="A56" s="172" t="s">
        <v>132</v>
      </c>
      <c r="B56" s="176" t="s">
        <v>594</v>
      </c>
      <c r="C56" s="339">
        <v>0</v>
      </c>
      <c r="D56" s="171">
        <f>C56*(D35+D37+D44+D45+D47)</f>
        <v>0</v>
      </c>
      <c r="E56" s="339">
        <f>C56</f>
        <v>0</v>
      </c>
      <c r="F56" s="171">
        <f>E56*$F$10</f>
        <v>0</v>
      </c>
      <c r="G56" s="339">
        <f>E56</f>
        <v>0</v>
      </c>
      <c r="H56" s="171">
        <f>G56*$H$10</f>
        <v>0</v>
      </c>
    </row>
    <row r="57" spans="1:10" ht="15" x14ac:dyDescent="0.2">
      <c r="A57" s="172" t="s">
        <v>196</v>
      </c>
      <c r="B57" s="173" t="s">
        <v>595</v>
      </c>
      <c r="C57" s="339">
        <v>0</v>
      </c>
      <c r="D57" s="171">
        <f>C57*(D55+D56)</f>
        <v>0</v>
      </c>
      <c r="E57" s="339">
        <f>C57</f>
        <v>0</v>
      </c>
      <c r="F57" s="171">
        <f>E57*F55</f>
        <v>0</v>
      </c>
      <c r="G57" s="339">
        <f>E57</f>
        <v>0</v>
      </c>
      <c r="H57" s="171">
        <f>G57*H55</f>
        <v>0</v>
      </c>
      <c r="J57" s="340"/>
    </row>
    <row r="58" spans="1:10" ht="15" x14ac:dyDescent="0.2">
      <c r="A58" s="189"/>
      <c r="B58" s="178" t="s">
        <v>133</v>
      </c>
      <c r="C58" s="179" t="e">
        <f>D58/$D$10</f>
        <v>#DIV/0!</v>
      </c>
      <c r="D58" s="180">
        <f>SUM(D55:D57)</f>
        <v>0</v>
      </c>
      <c r="E58" s="179" t="e">
        <f>F58/$D$10</f>
        <v>#DIV/0!</v>
      </c>
      <c r="F58" s="180">
        <f>SUM(F55:F57)</f>
        <v>0</v>
      </c>
      <c r="G58" s="179" t="e">
        <f>H58/$D$10</f>
        <v>#DIV/0!</v>
      </c>
      <c r="H58" s="180">
        <f>SUM(H55:H57)</f>
        <v>0</v>
      </c>
    </row>
    <row r="59" spans="1:10" x14ac:dyDescent="0.2">
      <c r="B59" s="176" t="s">
        <v>596</v>
      </c>
      <c r="C59" s="221" t="e">
        <f>D58/D10-1</f>
        <v>#DIV/0!</v>
      </c>
      <c r="D59" s="171">
        <f>D58-D10</f>
        <v>0</v>
      </c>
      <c r="E59" s="221" t="e">
        <f>F58/F10-1</f>
        <v>#DIV/0!</v>
      </c>
      <c r="F59" s="171">
        <f>F58-F10</f>
        <v>0</v>
      </c>
      <c r="G59" s="221" t="e">
        <f>H58/H10-1</f>
        <v>#DIV/0!</v>
      </c>
      <c r="H59" s="171">
        <f>H58-H10</f>
        <v>0</v>
      </c>
    </row>
    <row r="60" spans="1:10" x14ac:dyDescent="0.2">
      <c r="B60" s="176" t="s">
        <v>197</v>
      </c>
      <c r="C60" s="339">
        <v>1</v>
      </c>
      <c r="D60" s="171">
        <f>D58*C60</f>
        <v>0</v>
      </c>
      <c r="E60" s="339">
        <v>0</v>
      </c>
      <c r="F60" s="171">
        <f>F58*E60</f>
        <v>0</v>
      </c>
      <c r="G60" s="339">
        <f>1-C60-E60</f>
        <v>0</v>
      </c>
      <c r="H60" s="171">
        <f>H58*G60</f>
        <v>0</v>
      </c>
    </row>
    <row r="61" spans="1:10" ht="15" thickBot="1" x14ac:dyDescent="0.25">
      <c r="B61" s="176"/>
      <c r="C61" s="221"/>
      <c r="E61" s="221"/>
      <c r="G61" s="341">
        <f>C60+E60+G60</f>
        <v>1</v>
      </c>
    </row>
    <row r="62" spans="1:10" customFormat="1" ht="30.75" thickBot="1" x14ac:dyDescent="0.25">
      <c r="A62" s="172"/>
      <c r="B62" s="243" t="s">
        <v>597</v>
      </c>
      <c r="C62" s="244"/>
      <c r="D62" s="242">
        <f>D60+F60+H60</f>
        <v>0</v>
      </c>
      <c r="E62" s="244"/>
      <c r="F62" s="240"/>
      <c r="G62" s="240"/>
      <c r="H62" s="240"/>
      <c r="I62" s="2"/>
    </row>
    <row r="63" spans="1:10" customFormat="1" x14ac:dyDescent="0.2">
      <c r="A63" s="168"/>
      <c r="B63" s="328" t="s">
        <v>505</v>
      </c>
      <c r="C63" s="170"/>
      <c r="D63" s="171"/>
      <c r="E63" s="170"/>
      <c r="F63" s="171"/>
      <c r="G63" s="170"/>
      <c r="H63" s="171"/>
      <c r="I63" s="2"/>
    </row>
    <row r="64" spans="1:10" customFormat="1" x14ac:dyDescent="0.2">
      <c r="A64" s="168"/>
      <c r="B64" s="169"/>
      <c r="C64" s="170"/>
      <c r="D64" s="171"/>
      <c r="E64" s="170"/>
      <c r="F64" s="171"/>
      <c r="G64" s="170"/>
      <c r="H64" s="171"/>
      <c r="I64" s="2"/>
    </row>
  </sheetData>
  <sheetProtection algorithmName="SHA-512" hashValue="k4+z2WniossynT1ysfqGU3ycO0Nsnogkuiq9xjCyt3CgovKYInFoeoOc+D5hAHM6GGYKS9erhm1GDoraok8yMQ==" saltValue="F3ThtmC+s5TIJFe3Vj+beQ==" spinCount="100000" sheet="1" objects="1" scenarios="1"/>
  <mergeCells count="6">
    <mergeCell ref="G6:H7"/>
    <mergeCell ref="A1:B1"/>
    <mergeCell ref="C1:D1"/>
    <mergeCell ref="C3:D3"/>
    <mergeCell ref="C6:D7"/>
    <mergeCell ref="E6:F7"/>
  </mergeCells>
  <conditionalFormatting sqref="A6 B10">
    <cfRule type="expression" dxfId="29" priority="2">
      <formula>AND($D$10&lt;15,$D$10&gt;0)</formula>
    </cfRule>
  </conditionalFormatting>
  <conditionalFormatting sqref="C60 E60 G60">
    <cfRule type="expression" dxfId="28" priority="1">
      <formula>$G$61&lt;&gt;100%</formula>
    </cfRule>
  </conditionalFormatting>
  <printOptions horizontalCentered="1"/>
  <pageMargins left="0.55000000000000004" right="0.47" top="0.66" bottom="1.1000000000000001" header="0.2" footer="0.51181102362204722"/>
  <pageSetup paperSize="9" scale="78" orientation="portrait" r:id="rId1"/>
  <headerFooter alignWithMargins="0">
    <oddFooter>&amp;L&amp;8Ausschreibung Unterhaltsreinigung
&amp;A&amp;R&amp;8© Lean Consulting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36946-A1A8-4A97-8543-9DF6C6A4C74F}">
  <sheetPr>
    <pageSetUpPr autoPageBreaks="0" fitToPage="1"/>
  </sheetPr>
  <dimension ref="A1:I63"/>
  <sheetViews>
    <sheetView workbookViewId="0">
      <selection activeCell="D10" sqref="D10"/>
    </sheetView>
  </sheetViews>
  <sheetFormatPr baseColWidth="10" defaultRowHeight="14.25" x14ac:dyDescent="0.2"/>
  <cols>
    <col min="1" max="1" width="7.85546875" style="168" customWidth="1"/>
    <col min="2" max="2" width="60.7109375" style="169" customWidth="1"/>
    <col min="3" max="3" width="13.28515625" style="170" customWidth="1"/>
    <col min="4" max="4" width="13.28515625" style="171" customWidth="1"/>
    <col min="5" max="5" width="13.28515625" style="170" customWidth="1"/>
    <col min="6" max="6" width="13.28515625" style="171" customWidth="1"/>
    <col min="7" max="7" width="13.28515625" style="170" customWidth="1"/>
    <col min="8" max="8" width="13.28515625" style="171" customWidth="1"/>
    <col min="9" max="9" width="2.28515625" style="2" customWidth="1"/>
  </cols>
  <sheetData>
    <row r="1" spans="1:9" ht="15.6" customHeight="1" thickBot="1" x14ac:dyDescent="0.25">
      <c r="A1" s="375" t="s">
        <v>134</v>
      </c>
      <c r="B1" s="376"/>
      <c r="C1" s="376" t="s">
        <v>12</v>
      </c>
      <c r="D1" s="377"/>
    </row>
    <row r="2" spans="1:9" ht="15" thickBot="1" x14ac:dyDescent="0.25"/>
    <row r="3" spans="1:9" ht="15.75" thickBot="1" x14ac:dyDescent="0.25">
      <c r="A3" s="188" t="s">
        <v>8</v>
      </c>
      <c r="B3" s="185"/>
      <c r="C3" s="378" t="str">
        <f>IF(Bieter&lt;&gt;"",Bieter,"Bietername fehlt !")</f>
        <v>Bietername fehlt !</v>
      </c>
      <c r="D3" s="379"/>
    </row>
    <row r="4" spans="1:9" ht="15" thickBot="1" x14ac:dyDescent="0.25"/>
    <row r="5" spans="1:9" x14ac:dyDescent="0.2">
      <c r="A5" s="181" t="s">
        <v>100</v>
      </c>
      <c r="B5" s="182"/>
      <c r="C5" s="241"/>
      <c r="D5" s="183"/>
      <c r="E5" s="241"/>
      <c r="F5" s="183"/>
      <c r="G5" s="241"/>
      <c r="H5" s="183"/>
    </row>
    <row r="6" spans="1:9" ht="13.9" customHeight="1" x14ac:dyDescent="0.2">
      <c r="A6" s="184" t="s">
        <v>538</v>
      </c>
      <c r="B6" s="185"/>
      <c r="C6" s="371" t="s">
        <v>198</v>
      </c>
      <c r="D6" s="372"/>
      <c r="E6" s="371" t="s">
        <v>552</v>
      </c>
      <c r="F6" s="372"/>
      <c r="G6" s="371" t="s">
        <v>553</v>
      </c>
      <c r="H6" s="372"/>
    </row>
    <row r="7" spans="1:9" ht="15" thickBot="1" x14ac:dyDescent="0.25">
      <c r="A7" s="186"/>
      <c r="B7" s="187"/>
      <c r="C7" s="373"/>
      <c r="D7" s="374"/>
      <c r="E7" s="373"/>
      <c r="F7" s="374"/>
      <c r="G7" s="373"/>
      <c r="H7" s="374"/>
    </row>
    <row r="9" spans="1:9" ht="15" x14ac:dyDescent="0.25">
      <c r="A9" s="172" t="s">
        <v>0</v>
      </c>
      <c r="B9" s="173" t="s">
        <v>96</v>
      </c>
      <c r="C9" s="174" t="s">
        <v>97</v>
      </c>
      <c r="D9" s="175" t="s">
        <v>98</v>
      </c>
      <c r="E9" s="174" t="s">
        <v>97</v>
      </c>
      <c r="F9" s="175" t="s">
        <v>98</v>
      </c>
      <c r="G9" s="174" t="s">
        <v>97</v>
      </c>
      <c r="H9" s="175" t="s">
        <v>98</v>
      </c>
      <c r="I9" s="167"/>
    </row>
    <row r="10" spans="1:9" s="2" customFormat="1" ht="15" x14ac:dyDescent="0.2">
      <c r="A10" s="177" t="s">
        <v>99</v>
      </c>
      <c r="B10" s="178" t="s">
        <v>539</v>
      </c>
      <c r="C10" s="179">
        <v>1</v>
      </c>
      <c r="D10" s="192">
        <v>0</v>
      </c>
      <c r="E10" s="179">
        <v>1</v>
      </c>
      <c r="F10" s="192">
        <f>D10</f>
        <v>0</v>
      </c>
      <c r="G10" s="179">
        <v>1</v>
      </c>
      <c r="H10" s="338">
        <f>D10</f>
        <v>0</v>
      </c>
    </row>
    <row r="11" spans="1:9" s="2" customFormat="1" ht="15" x14ac:dyDescent="0.2">
      <c r="A11" s="172" t="s">
        <v>101</v>
      </c>
      <c r="B11" s="173" t="s">
        <v>102</v>
      </c>
      <c r="C11" s="170"/>
      <c r="D11" s="171"/>
      <c r="E11" s="170"/>
      <c r="F11" s="171"/>
      <c r="G11" s="170"/>
      <c r="H11" s="171"/>
    </row>
    <row r="12" spans="1:9" s="2" customFormat="1" ht="15" x14ac:dyDescent="0.2">
      <c r="A12" s="172" t="s">
        <v>103</v>
      </c>
      <c r="B12" s="173" t="s">
        <v>554</v>
      </c>
      <c r="C12" s="170"/>
      <c r="D12" s="171"/>
      <c r="E12" s="170"/>
      <c r="F12" s="171"/>
      <c r="G12" s="170"/>
      <c r="H12" s="171"/>
    </row>
    <row r="13" spans="1:9" x14ac:dyDescent="0.2">
      <c r="A13" s="168" t="s">
        <v>555</v>
      </c>
      <c r="B13" s="176" t="s">
        <v>556</v>
      </c>
      <c r="C13" s="339">
        <v>0</v>
      </c>
      <c r="D13" s="171">
        <f>C13*$D$10</f>
        <v>0</v>
      </c>
      <c r="E13" s="339">
        <v>0</v>
      </c>
      <c r="F13" s="171">
        <f>E13*$F$10</f>
        <v>0</v>
      </c>
      <c r="G13" s="221"/>
      <c r="H13" s="171" t="s">
        <v>195</v>
      </c>
    </row>
    <row r="14" spans="1:9" x14ac:dyDescent="0.2">
      <c r="A14" s="168" t="s">
        <v>557</v>
      </c>
      <c r="B14" s="176" t="s">
        <v>191</v>
      </c>
      <c r="C14" s="221"/>
      <c r="D14" s="171" t="s">
        <v>195</v>
      </c>
      <c r="E14" s="221"/>
      <c r="F14" s="171" t="s">
        <v>195</v>
      </c>
      <c r="G14" s="339">
        <v>0</v>
      </c>
      <c r="H14" s="171">
        <f>G14*$H$10</f>
        <v>0</v>
      </c>
    </row>
    <row r="15" spans="1:9" x14ac:dyDescent="0.2">
      <c r="A15" s="168" t="s">
        <v>558</v>
      </c>
      <c r="B15" s="176" t="s">
        <v>559</v>
      </c>
      <c r="C15" s="339">
        <v>0</v>
      </c>
      <c r="D15" s="171">
        <f>C15*$D$10</f>
        <v>0</v>
      </c>
      <c r="E15" s="339">
        <v>0</v>
      </c>
      <c r="F15" s="171">
        <f>E15*$F$10</f>
        <v>0</v>
      </c>
      <c r="G15" s="221"/>
      <c r="H15" s="171" t="s">
        <v>195</v>
      </c>
    </row>
    <row r="16" spans="1:9" s="2" customFormat="1" x14ac:dyDescent="0.2">
      <c r="A16" s="168" t="s">
        <v>560</v>
      </c>
      <c r="B16" s="176" t="s">
        <v>190</v>
      </c>
      <c r="C16" s="221"/>
      <c r="D16" s="171" t="s">
        <v>195</v>
      </c>
      <c r="E16" s="221"/>
      <c r="F16" s="171" t="s">
        <v>195</v>
      </c>
      <c r="G16" s="339">
        <v>0</v>
      </c>
      <c r="H16" s="171">
        <f>G16*$H$10</f>
        <v>0</v>
      </c>
    </row>
    <row r="17" spans="1:8" s="2" customFormat="1" x14ac:dyDescent="0.2">
      <c r="A17" s="168" t="s">
        <v>104</v>
      </c>
      <c r="B17" s="176" t="s">
        <v>561</v>
      </c>
      <c r="C17" s="339">
        <v>0</v>
      </c>
      <c r="D17" s="171">
        <f t="shared" ref="D17:D27" si="0">C17*$D$10</f>
        <v>0</v>
      </c>
      <c r="E17" s="339">
        <v>0</v>
      </c>
      <c r="F17" s="171">
        <f>E17*$F$10</f>
        <v>0</v>
      </c>
      <c r="G17" s="221"/>
      <c r="H17" s="171" t="s">
        <v>195</v>
      </c>
    </row>
    <row r="18" spans="1:8" s="2" customFormat="1" x14ac:dyDescent="0.2">
      <c r="A18" s="168" t="s">
        <v>160</v>
      </c>
      <c r="B18" s="176" t="s">
        <v>562</v>
      </c>
      <c r="C18" s="339">
        <v>0</v>
      </c>
      <c r="D18" s="171">
        <f t="shared" si="0"/>
        <v>0</v>
      </c>
      <c r="E18" s="339">
        <v>0</v>
      </c>
      <c r="F18" s="171">
        <f>E18*$F$10</f>
        <v>0</v>
      </c>
      <c r="G18" s="221"/>
      <c r="H18" s="171" t="s">
        <v>195</v>
      </c>
    </row>
    <row r="19" spans="1:8" s="2" customFormat="1" x14ac:dyDescent="0.2">
      <c r="A19" s="168" t="s">
        <v>107</v>
      </c>
      <c r="B19" s="176" t="s">
        <v>563</v>
      </c>
      <c r="C19" s="339">
        <v>0</v>
      </c>
      <c r="D19" s="171">
        <f t="shared" si="0"/>
        <v>0</v>
      </c>
      <c r="E19" s="339">
        <v>0</v>
      </c>
      <c r="F19" s="171">
        <f>E19*$F$10</f>
        <v>0</v>
      </c>
      <c r="G19" s="339">
        <v>0</v>
      </c>
      <c r="H19" s="171">
        <f>G19*$H$10</f>
        <v>0</v>
      </c>
    </row>
    <row r="20" spans="1:8" x14ac:dyDescent="0.2">
      <c r="A20" s="168" t="s">
        <v>108</v>
      </c>
      <c r="B20" s="176" t="s">
        <v>564</v>
      </c>
      <c r="C20" s="339">
        <v>0</v>
      </c>
      <c r="D20" s="171">
        <f>C20*$D$10</f>
        <v>0</v>
      </c>
      <c r="E20" s="339">
        <v>0</v>
      </c>
      <c r="F20" s="171">
        <f>E20*$F$10</f>
        <v>0</v>
      </c>
      <c r="G20" s="339">
        <f>E20</f>
        <v>0</v>
      </c>
      <c r="H20" s="171">
        <f>G20*$H$10</f>
        <v>0</v>
      </c>
    </row>
    <row r="21" spans="1:8" s="2" customFormat="1" ht="15" customHeight="1" x14ac:dyDescent="0.2">
      <c r="A21" s="168" t="s">
        <v>109</v>
      </c>
      <c r="B21" s="176" t="s">
        <v>112</v>
      </c>
      <c r="C21" s="339">
        <v>0</v>
      </c>
      <c r="D21" s="171">
        <f>C21*$D$10</f>
        <v>0</v>
      </c>
      <c r="E21" s="339">
        <v>0</v>
      </c>
      <c r="F21" s="171">
        <f>E21*$F$10</f>
        <v>0</v>
      </c>
      <c r="G21" s="339">
        <f>E21</f>
        <v>0</v>
      </c>
      <c r="H21" s="171">
        <f>G21*$H$10</f>
        <v>0</v>
      </c>
    </row>
    <row r="22" spans="1:8" ht="15" x14ac:dyDescent="0.2">
      <c r="A22" s="334">
        <f ca="1">IF(SVS_GLR-TODAY()&gt;0,D62,RT_allgemein)</f>
        <v>0</v>
      </c>
      <c r="B22" s="178" t="s">
        <v>565</v>
      </c>
      <c r="C22" s="179">
        <f t="shared" ref="C22:H22" si="1">SUM(C13:C21)</f>
        <v>0</v>
      </c>
      <c r="D22" s="180">
        <f t="shared" si="1"/>
        <v>0</v>
      </c>
      <c r="E22" s="179">
        <f t="shared" si="1"/>
        <v>0</v>
      </c>
      <c r="F22" s="180">
        <f t="shared" si="1"/>
        <v>0</v>
      </c>
      <c r="G22" s="179">
        <f t="shared" si="1"/>
        <v>0</v>
      </c>
      <c r="H22" s="180">
        <f t="shared" si="1"/>
        <v>0</v>
      </c>
    </row>
    <row r="23" spans="1:8" ht="15" x14ac:dyDescent="0.2">
      <c r="A23" s="172" t="s">
        <v>110</v>
      </c>
      <c r="B23" s="173" t="s">
        <v>566</v>
      </c>
    </row>
    <row r="24" spans="1:8" x14ac:dyDescent="0.2">
      <c r="A24" s="168" t="s">
        <v>192</v>
      </c>
      <c r="B24" s="176" t="s">
        <v>154</v>
      </c>
      <c r="C24" s="339">
        <v>0</v>
      </c>
      <c r="D24" s="171">
        <f t="shared" ref="D24:D25" si="2">C24*$D$10</f>
        <v>0</v>
      </c>
      <c r="E24" s="339">
        <f>C24</f>
        <v>0</v>
      </c>
      <c r="F24" s="171">
        <f>E24*$F$10</f>
        <v>0</v>
      </c>
      <c r="G24" s="339">
        <f>E24</f>
        <v>0</v>
      </c>
      <c r="H24" s="171">
        <f>G24*$H$10</f>
        <v>0</v>
      </c>
    </row>
    <row r="25" spans="1:8" x14ac:dyDescent="0.2">
      <c r="A25" s="168" t="s">
        <v>193</v>
      </c>
      <c r="B25" s="176" t="s">
        <v>106</v>
      </c>
      <c r="C25" s="339">
        <v>0</v>
      </c>
      <c r="D25" s="171">
        <f t="shared" si="2"/>
        <v>0</v>
      </c>
      <c r="E25" s="339">
        <f>C25</f>
        <v>0</v>
      </c>
      <c r="F25" s="171">
        <f>E25*$F$10</f>
        <v>0</v>
      </c>
      <c r="G25" s="339">
        <f>E25</f>
        <v>0</v>
      </c>
      <c r="H25" s="171">
        <f>G25*$H$10</f>
        <v>0</v>
      </c>
    </row>
    <row r="26" spans="1:8" x14ac:dyDescent="0.2">
      <c r="A26" s="168" t="s">
        <v>194</v>
      </c>
      <c r="B26" s="176" t="s">
        <v>105</v>
      </c>
      <c r="C26" s="339">
        <v>0</v>
      </c>
      <c r="D26" s="171">
        <f t="shared" si="0"/>
        <v>0</v>
      </c>
      <c r="E26" s="339">
        <f>C26</f>
        <v>0</v>
      </c>
      <c r="F26" s="171">
        <f>E26*$F$10</f>
        <v>0</v>
      </c>
      <c r="G26" s="339">
        <f>E26</f>
        <v>0</v>
      </c>
      <c r="H26" s="171">
        <f>G26*$H$10</f>
        <v>0</v>
      </c>
    </row>
    <row r="27" spans="1:8" x14ac:dyDescent="0.2">
      <c r="A27" s="168" t="s">
        <v>540</v>
      </c>
      <c r="B27" s="176" t="s">
        <v>567</v>
      </c>
      <c r="C27" s="339">
        <v>0</v>
      </c>
      <c r="D27" s="171">
        <f t="shared" si="0"/>
        <v>0</v>
      </c>
      <c r="E27" s="339">
        <f>C27</f>
        <v>0</v>
      </c>
      <c r="F27" s="171">
        <f>E27*$F$10</f>
        <v>0</v>
      </c>
      <c r="G27" s="339">
        <f>E27</f>
        <v>0</v>
      </c>
      <c r="H27" s="171">
        <f>G27*$H$10</f>
        <v>0</v>
      </c>
    </row>
    <row r="28" spans="1:8" x14ac:dyDescent="0.2">
      <c r="A28" s="168" t="s">
        <v>568</v>
      </c>
      <c r="B28" s="176" t="s">
        <v>159</v>
      </c>
      <c r="C28" s="339">
        <v>0</v>
      </c>
      <c r="D28" s="171">
        <f>C28*$D$10</f>
        <v>0</v>
      </c>
      <c r="E28" s="339">
        <f>C28</f>
        <v>0</v>
      </c>
      <c r="F28" s="171">
        <f>E28*$F$10</f>
        <v>0</v>
      </c>
      <c r="G28" s="339">
        <f>E28</f>
        <v>0</v>
      </c>
      <c r="H28" s="171">
        <f>G28*$H$10</f>
        <v>0</v>
      </c>
    </row>
    <row r="29" spans="1:8" ht="28.5" x14ac:dyDescent="0.2">
      <c r="A29" s="168" t="s">
        <v>568</v>
      </c>
      <c r="B29" s="169" t="s">
        <v>569</v>
      </c>
      <c r="C29" s="221">
        <f>IF($D$10&lt;&gt;0,D29/$D$10,0)</f>
        <v>0</v>
      </c>
      <c r="D29" s="171">
        <f>SUM(D24:D28)*C22</f>
        <v>0</v>
      </c>
      <c r="E29" s="221">
        <f>IF($F$10&lt;&gt;0,F29/$F$10,0)</f>
        <v>0</v>
      </c>
      <c r="F29" s="171">
        <f>SUM(F24:F28)*E22</f>
        <v>0</v>
      </c>
      <c r="G29" s="221">
        <f>IF($F$10&lt;&gt;0,H29/$F$10,0)</f>
        <v>0</v>
      </c>
      <c r="H29" s="171">
        <f>SUM(H24:H28)*G22</f>
        <v>0</v>
      </c>
    </row>
    <row r="30" spans="1:8" ht="15" x14ac:dyDescent="0.2">
      <c r="A30" s="189"/>
      <c r="B30" s="178" t="s">
        <v>570</v>
      </c>
      <c r="C30" s="179">
        <f>IF($D$10&lt;&gt;0,D30/$D$10,0)</f>
        <v>0</v>
      </c>
      <c r="D30" s="180">
        <f>SUM(D24:D29)</f>
        <v>0</v>
      </c>
      <c r="E30" s="179">
        <f>IF($D$10&lt;&gt;0,F30/$D$10,0)</f>
        <v>0</v>
      </c>
      <c r="F30" s="180">
        <f>SUM(F24:F29)</f>
        <v>0</v>
      </c>
      <c r="G30" s="179">
        <f>IF($D$10&lt;&gt;0,H30/$D$10,0)</f>
        <v>0</v>
      </c>
      <c r="H30" s="180">
        <f>SUM(H24:H29)</f>
        <v>0</v>
      </c>
    </row>
    <row r="31" spans="1:8" ht="15" x14ac:dyDescent="0.2">
      <c r="A31" s="189"/>
      <c r="B31" s="178" t="s">
        <v>571</v>
      </c>
      <c r="C31" s="179" t="e">
        <f>D31/D10</f>
        <v>#DIV/0!</v>
      </c>
      <c r="D31" s="180">
        <f>D22+D30</f>
        <v>0</v>
      </c>
      <c r="E31" s="179" t="e">
        <f>F31/F10</f>
        <v>#DIV/0!</v>
      </c>
      <c r="F31" s="180">
        <f>F22+F30</f>
        <v>0</v>
      </c>
      <c r="G31" s="179" t="e">
        <f>H31/H10</f>
        <v>#DIV/0!</v>
      </c>
      <c r="H31" s="180">
        <f>H22+H30</f>
        <v>0</v>
      </c>
    </row>
    <row r="32" spans="1:8" ht="15" x14ac:dyDescent="0.2">
      <c r="A32" s="172" t="s">
        <v>111</v>
      </c>
      <c r="B32" s="173" t="s">
        <v>572</v>
      </c>
    </row>
    <row r="33" spans="1:8" x14ac:dyDescent="0.2">
      <c r="A33" s="168" t="s">
        <v>573</v>
      </c>
      <c r="B33" s="176" t="s">
        <v>114</v>
      </c>
      <c r="C33" s="339">
        <v>0</v>
      </c>
      <c r="D33" s="171">
        <f t="shared" ref="D33:D34" si="3">C33*$D$10</f>
        <v>0</v>
      </c>
      <c r="E33" s="339">
        <f>C33</f>
        <v>0</v>
      </c>
      <c r="F33" s="171">
        <f>E33*$F$10</f>
        <v>0</v>
      </c>
      <c r="G33" s="339">
        <f>E33</f>
        <v>0</v>
      </c>
      <c r="H33" s="171">
        <f>G33*$H$10</f>
        <v>0</v>
      </c>
    </row>
    <row r="34" spans="1:8" x14ac:dyDescent="0.2">
      <c r="A34" s="168" t="s">
        <v>574</v>
      </c>
      <c r="B34" s="176" t="s">
        <v>575</v>
      </c>
      <c r="C34" s="339">
        <v>0</v>
      </c>
      <c r="D34" s="171">
        <f t="shared" si="3"/>
        <v>0</v>
      </c>
      <c r="E34" s="339">
        <f>C34</f>
        <v>0</v>
      </c>
      <c r="F34" s="171">
        <f>E34*$F$10</f>
        <v>0</v>
      </c>
      <c r="G34" s="339">
        <f>E34</f>
        <v>0</v>
      </c>
      <c r="H34" s="171">
        <f>G34*$H$10</f>
        <v>0</v>
      </c>
    </row>
    <row r="35" spans="1:8" ht="15" x14ac:dyDescent="0.2">
      <c r="A35" s="189"/>
      <c r="B35" s="178" t="s">
        <v>576</v>
      </c>
      <c r="C35" s="179" t="e">
        <f t="shared" ref="C35:H35" si="4">SUM(C31:C34)</f>
        <v>#DIV/0!</v>
      </c>
      <c r="D35" s="180">
        <f t="shared" si="4"/>
        <v>0</v>
      </c>
      <c r="E35" s="179" t="e">
        <f t="shared" si="4"/>
        <v>#DIV/0!</v>
      </c>
      <c r="F35" s="180">
        <f t="shared" si="4"/>
        <v>0</v>
      </c>
      <c r="G35" s="179" t="e">
        <f t="shared" si="4"/>
        <v>#DIV/0!</v>
      </c>
      <c r="H35" s="180">
        <f t="shared" si="4"/>
        <v>0</v>
      </c>
    </row>
    <row r="36" spans="1:8" ht="15" x14ac:dyDescent="0.2">
      <c r="A36" s="172" t="s">
        <v>115</v>
      </c>
      <c r="B36" s="173" t="s">
        <v>577</v>
      </c>
    </row>
    <row r="37" spans="1:8" x14ac:dyDescent="0.2">
      <c r="A37" s="168" t="s">
        <v>118</v>
      </c>
      <c r="B37" s="176" t="s">
        <v>578</v>
      </c>
      <c r="C37" s="339">
        <v>0</v>
      </c>
      <c r="D37" s="171">
        <f>C37*$D$10</f>
        <v>0</v>
      </c>
      <c r="E37" s="339">
        <f>C37</f>
        <v>0</v>
      </c>
      <c r="F37" s="171">
        <f>E37*$F$10</f>
        <v>0</v>
      </c>
      <c r="G37" s="339">
        <f>E37</f>
        <v>0</v>
      </c>
      <c r="H37" s="171">
        <f>G37*$H$10</f>
        <v>0</v>
      </c>
    </row>
    <row r="38" spans="1:8" x14ac:dyDescent="0.2">
      <c r="A38" s="168" t="s">
        <v>119</v>
      </c>
      <c r="B38" s="169" t="s">
        <v>579</v>
      </c>
      <c r="C38" s="339">
        <v>0</v>
      </c>
      <c r="D38" s="171">
        <f>C38*$D$10</f>
        <v>0</v>
      </c>
      <c r="E38" s="339">
        <f>C38</f>
        <v>0</v>
      </c>
      <c r="F38" s="171">
        <f>E38*$F$10</f>
        <v>0</v>
      </c>
      <c r="G38" s="339">
        <f>E38</f>
        <v>0</v>
      </c>
      <c r="H38" s="171">
        <f>G38*$H$10</f>
        <v>0</v>
      </c>
    </row>
    <row r="39" spans="1:8" x14ac:dyDescent="0.2">
      <c r="A39" s="168" t="s">
        <v>580</v>
      </c>
      <c r="B39" s="169" t="s">
        <v>116</v>
      </c>
      <c r="C39" s="339">
        <v>0</v>
      </c>
      <c r="D39" s="171">
        <f t="shared" ref="D39:D41" si="5">C39*$D$10</f>
        <v>0</v>
      </c>
      <c r="E39" s="339">
        <f>C39</f>
        <v>0</v>
      </c>
      <c r="F39" s="171">
        <f>E39*$F$10</f>
        <v>0</v>
      </c>
      <c r="G39" s="339">
        <f>E39</f>
        <v>0</v>
      </c>
      <c r="H39" s="171">
        <f>G39*$H$10</f>
        <v>0</v>
      </c>
    </row>
    <row r="40" spans="1:8" x14ac:dyDescent="0.2">
      <c r="A40" s="168" t="s">
        <v>581</v>
      </c>
      <c r="B40" s="169" t="s">
        <v>582</v>
      </c>
      <c r="C40" s="339">
        <v>0</v>
      </c>
      <c r="D40" s="171">
        <f t="shared" si="5"/>
        <v>0</v>
      </c>
      <c r="E40" s="339">
        <f>C40</f>
        <v>0</v>
      </c>
      <c r="F40" s="171">
        <f>E40*$F$10</f>
        <v>0</v>
      </c>
      <c r="G40" s="339">
        <f>E40</f>
        <v>0</v>
      </c>
      <c r="H40" s="171">
        <f>G40*$H$10</f>
        <v>0</v>
      </c>
    </row>
    <row r="41" spans="1:8" x14ac:dyDescent="0.2">
      <c r="A41" s="168" t="s">
        <v>161</v>
      </c>
      <c r="B41" s="169" t="s">
        <v>117</v>
      </c>
      <c r="C41" s="339">
        <v>0</v>
      </c>
      <c r="D41" s="171">
        <f t="shared" si="5"/>
        <v>0</v>
      </c>
      <c r="E41" s="339">
        <f>C41</f>
        <v>0</v>
      </c>
      <c r="F41" s="171">
        <f>E41*$F$10</f>
        <v>0</v>
      </c>
      <c r="G41" s="339">
        <f>E41</f>
        <v>0</v>
      </c>
      <c r="H41" s="171">
        <f>G41*$H$10</f>
        <v>0</v>
      </c>
    </row>
    <row r="42" spans="1:8" ht="15" x14ac:dyDescent="0.2">
      <c r="A42" s="189"/>
      <c r="B42" s="178" t="s">
        <v>583</v>
      </c>
      <c r="C42" s="179">
        <f t="shared" ref="C42:H42" si="6">SUM(C37:C41)</f>
        <v>0</v>
      </c>
      <c r="D42" s="180">
        <f t="shared" si="6"/>
        <v>0</v>
      </c>
      <c r="E42" s="179">
        <f t="shared" si="6"/>
        <v>0</v>
      </c>
      <c r="F42" s="180">
        <f t="shared" si="6"/>
        <v>0</v>
      </c>
      <c r="G42" s="179">
        <f t="shared" si="6"/>
        <v>0</v>
      </c>
      <c r="H42" s="180">
        <f t="shared" si="6"/>
        <v>0</v>
      </c>
    </row>
    <row r="43" spans="1:8" ht="15" x14ac:dyDescent="0.2">
      <c r="A43" s="172" t="s">
        <v>120</v>
      </c>
      <c r="B43" s="173" t="s">
        <v>121</v>
      </c>
    </row>
    <row r="44" spans="1:8" x14ac:dyDescent="0.2">
      <c r="A44" s="168" t="s">
        <v>584</v>
      </c>
      <c r="B44" s="169" t="s">
        <v>122</v>
      </c>
      <c r="C44" s="339">
        <v>0</v>
      </c>
      <c r="D44" s="171">
        <f t="shared" ref="D44:D53" si="7">C44*$D$10</f>
        <v>0</v>
      </c>
      <c r="E44" s="339">
        <f>C44</f>
        <v>0</v>
      </c>
      <c r="F44" s="171">
        <f t="shared" ref="F44:F53" si="8">E44*$F$10</f>
        <v>0</v>
      </c>
      <c r="G44" s="339">
        <f>E44</f>
        <v>0</v>
      </c>
      <c r="H44" s="171">
        <f t="shared" ref="H44:H53" si="9">G44*$H$10</f>
        <v>0</v>
      </c>
    </row>
    <row r="45" spans="1:8" x14ac:dyDescent="0.2">
      <c r="A45" s="168" t="s">
        <v>585</v>
      </c>
      <c r="B45" s="169" t="s">
        <v>181</v>
      </c>
      <c r="C45" s="339">
        <v>0</v>
      </c>
      <c r="D45" s="171">
        <f t="shared" si="7"/>
        <v>0</v>
      </c>
      <c r="E45" s="339">
        <f t="shared" ref="E45:E53" si="10">C45</f>
        <v>0</v>
      </c>
      <c r="F45" s="171">
        <f t="shared" si="8"/>
        <v>0</v>
      </c>
      <c r="G45" s="339">
        <f t="shared" ref="G45:G48" si="11">E45</f>
        <v>0</v>
      </c>
      <c r="H45" s="171">
        <f t="shared" si="9"/>
        <v>0</v>
      </c>
    </row>
    <row r="46" spans="1:8" x14ac:dyDescent="0.2">
      <c r="A46" s="168" t="s">
        <v>123</v>
      </c>
      <c r="B46" s="169" t="s">
        <v>128</v>
      </c>
      <c r="C46" s="339">
        <v>0</v>
      </c>
      <c r="D46" s="171">
        <f t="shared" si="7"/>
        <v>0</v>
      </c>
      <c r="E46" s="339">
        <f t="shared" si="10"/>
        <v>0</v>
      </c>
      <c r="F46" s="171">
        <f t="shared" si="8"/>
        <v>0</v>
      </c>
      <c r="G46" s="339">
        <f t="shared" si="11"/>
        <v>0</v>
      </c>
      <c r="H46" s="171">
        <f t="shared" si="9"/>
        <v>0</v>
      </c>
    </row>
    <row r="47" spans="1:8" x14ac:dyDescent="0.2">
      <c r="A47" s="168" t="s">
        <v>586</v>
      </c>
      <c r="B47" s="169" t="s">
        <v>587</v>
      </c>
      <c r="C47" s="339">
        <v>0</v>
      </c>
      <c r="D47" s="171">
        <f t="shared" si="7"/>
        <v>0</v>
      </c>
      <c r="E47" s="339">
        <f t="shared" si="10"/>
        <v>0</v>
      </c>
      <c r="F47" s="171">
        <f t="shared" si="8"/>
        <v>0</v>
      </c>
      <c r="G47" s="339">
        <f t="shared" si="11"/>
        <v>0</v>
      </c>
      <c r="H47" s="171">
        <f t="shared" si="9"/>
        <v>0</v>
      </c>
    </row>
    <row r="48" spans="1:8" x14ac:dyDescent="0.2">
      <c r="A48" s="168" t="s">
        <v>588</v>
      </c>
      <c r="B48" s="169" t="s">
        <v>589</v>
      </c>
      <c r="C48" s="339">
        <v>0</v>
      </c>
      <c r="D48" s="171">
        <f t="shared" si="7"/>
        <v>0</v>
      </c>
      <c r="E48" s="339">
        <f t="shared" si="10"/>
        <v>0</v>
      </c>
      <c r="F48" s="171">
        <f t="shared" si="8"/>
        <v>0</v>
      </c>
      <c r="G48" s="339">
        <f t="shared" si="11"/>
        <v>0</v>
      </c>
      <c r="H48" s="171">
        <f t="shared" si="9"/>
        <v>0</v>
      </c>
    </row>
    <row r="49" spans="1:8" x14ac:dyDescent="0.2">
      <c r="A49" s="168" t="s">
        <v>124</v>
      </c>
      <c r="B49" s="176" t="s">
        <v>113</v>
      </c>
      <c r="C49" s="339">
        <v>0</v>
      </c>
      <c r="D49" s="171">
        <f>C49*$D$10</f>
        <v>0</v>
      </c>
      <c r="E49" s="339">
        <f>C49</f>
        <v>0</v>
      </c>
      <c r="F49" s="171">
        <f>E49*$F$10</f>
        <v>0</v>
      </c>
      <c r="G49" s="339">
        <f>E49</f>
        <v>0</v>
      </c>
      <c r="H49" s="171">
        <f t="shared" si="9"/>
        <v>0</v>
      </c>
    </row>
    <row r="50" spans="1:8" x14ac:dyDescent="0.2">
      <c r="A50" s="168" t="s">
        <v>125</v>
      </c>
      <c r="B50" s="176" t="s">
        <v>590</v>
      </c>
      <c r="C50" s="339">
        <v>0</v>
      </c>
      <c r="D50" s="171">
        <f>C50*$D$10</f>
        <v>0</v>
      </c>
      <c r="E50" s="339">
        <f>C50</f>
        <v>0</v>
      </c>
      <c r="F50" s="171">
        <f>E50*$F$10</f>
        <v>0</v>
      </c>
      <c r="G50" s="339">
        <f>E50</f>
        <v>0</v>
      </c>
      <c r="H50" s="171">
        <f t="shared" si="9"/>
        <v>0</v>
      </c>
    </row>
    <row r="51" spans="1:8" x14ac:dyDescent="0.2">
      <c r="A51" s="168" t="s">
        <v>126</v>
      </c>
      <c r="B51" s="169" t="s">
        <v>129</v>
      </c>
      <c r="C51" s="339">
        <v>0</v>
      </c>
      <c r="D51" s="171">
        <f t="shared" si="7"/>
        <v>0</v>
      </c>
      <c r="E51" s="339">
        <f t="shared" si="10"/>
        <v>0</v>
      </c>
      <c r="F51" s="171">
        <f t="shared" si="8"/>
        <v>0</v>
      </c>
      <c r="G51" s="339">
        <f t="shared" ref="G51" si="12">E51</f>
        <v>0</v>
      </c>
      <c r="H51" s="171">
        <f t="shared" si="9"/>
        <v>0</v>
      </c>
    </row>
    <row r="52" spans="1:8" x14ac:dyDescent="0.2">
      <c r="A52" s="168" t="s">
        <v>127</v>
      </c>
      <c r="B52" s="169" t="s">
        <v>591</v>
      </c>
      <c r="C52" s="339">
        <v>0</v>
      </c>
      <c r="D52" s="171">
        <f>C52*$D$10</f>
        <v>0</v>
      </c>
      <c r="E52" s="339">
        <f>C52</f>
        <v>0</v>
      </c>
      <c r="F52" s="171">
        <f>E52*$F$10</f>
        <v>0</v>
      </c>
      <c r="G52" s="339">
        <f>E52</f>
        <v>0</v>
      </c>
      <c r="H52" s="171">
        <f t="shared" si="9"/>
        <v>0</v>
      </c>
    </row>
    <row r="53" spans="1:8" x14ac:dyDescent="0.2">
      <c r="A53" s="168" t="s">
        <v>162</v>
      </c>
      <c r="B53" s="169" t="s">
        <v>592</v>
      </c>
      <c r="C53" s="339">
        <v>0</v>
      </c>
      <c r="D53" s="171">
        <f t="shared" si="7"/>
        <v>0</v>
      </c>
      <c r="E53" s="339">
        <f t="shared" si="10"/>
        <v>0</v>
      </c>
      <c r="F53" s="171">
        <f t="shared" si="8"/>
        <v>0</v>
      </c>
      <c r="G53" s="339">
        <f t="shared" ref="G53" si="13">E53</f>
        <v>0</v>
      </c>
      <c r="H53" s="171">
        <f t="shared" si="9"/>
        <v>0</v>
      </c>
    </row>
    <row r="54" spans="1:8" ht="15" x14ac:dyDescent="0.2">
      <c r="A54" s="189"/>
      <c r="B54" s="178" t="s">
        <v>593</v>
      </c>
      <c r="C54" s="179">
        <f t="shared" ref="C54:H54" si="14">SUM(C44:C53)</f>
        <v>0</v>
      </c>
      <c r="D54" s="180">
        <f t="shared" si="14"/>
        <v>0</v>
      </c>
      <c r="E54" s="179">
        <f t="shared" si="14"/>
        <v>0</v>
      </c>
      <c r="F54" s="180">
        <f t="shared" si="14"/>
        <v>0</v>
      </c>
      <c r="G54" s="179">
        <f t="shared" si="14"/>
        <v>0</v>
      </c>
      <c r="H54" s="180">
        <f t="shared" si="14"/>
        <v>0</v>
      </c>
    </row>
    <row r="55" spans="1:8" ht="15" x14ac:dyDescent="0.2">
      <c r="A55" s="172" t="s">
        <v>130</v>
      </c>
      <c r="B55" s="173" t="s">
        <v>131</v>
      </c>
      <c r="C55" s="170" t="e">
        <f>D55/$D$10</f>
        <v>#DIV/0!</v>
      </c>
      <c r="D55" s="171">
        <f>D10+D35+D42+D54</f>
        <v>0</v>
      </c>
      <c r="E55" s="170" t="e">
        <f>F55/$F$10</f>
        <v>#DIV/0!</v>
      </c>
      <c r="F55" s="171">
        <f>F10+F35+F42+F54</f>
        <v>0</v>
      </c>
      <c r="G55" s="170" t="e">
        <f>H55/$F$10</f>
        <v>#DIV/0!</v>
      </c>
      <c r="H55" s="171">
        <f>H10+H35+H42+H54</f>
        <v>0</v>
      </c>
    </row>
    <row r="56" spans="1:8" ht="29.25" x14ac:dyDescent="0.2">
      <c r="A56" s="172" t="s">
        <v>132</v>
      </c>
      <c r="B56" s="176" t="s">
        <v>594</v>
      </c>
      <c r="C56" s="339">
        <v>0</v>
      </c>
      <c r="D56" s="171">
        <f>C56*(D35+D37+D44+D45+D47)</f>
        <v>0</v>
      </c>
      <c r="E56" s="339">
        <f>C56</f>
        <v>0</v>
      </c>
      <c r="F56" s="171">
        <f>E56*$F$10</f>
        <v>0</v>
      </c>
      <c r="G56" s="339">
        <f>E56</f>
        <v>0</v>
      </c>
      <c r="H56" s="171">
        <f>G56*$H$10</f>
        <v>0</v>
      </c>
    </row>
    <row r="57" spans="1:8" ht="15" x14ac:dyDescent="0.2">
      <c r="A57" s="172" t="s">
        <v>196</v>
      </c>
      <c r="B57" s="173" t="s">
        <v>595</v>
      </c>
      <c r="C57" s="339">
        <v>0</v>
      </c>
      <c r="D57" s="171">
        <f>C57*(D55+D56)</f>
        <v>0</v>
      </c>
      <c r="E57" s="339">
        <f>C57</f>
        <v>0</v>
      </c>
      <c r="F57" s="171">
        <f>E57*F55</f>
        <v>0</v>
      </c>
      <c r="G57" s="339">
        <f>E57</f>
        <v>0</v>
      </c>
      <c r="H57" s="171">
        <f>G57*H55</f>
        <v>0</v>
      </c>
    </row>
    <row r="58" spans="1:8" ht="15" x14ac:dyDescent="0.2">
      <c r="A58" s="189"/>
      <c r="B58" s="178" t="s">
        <v>133</v>
      </c>
      <c r="C58" s="179" t="e">
        <f>D58/$D$10</f>
        <v>#DIV/0!</v>
      </c>
      <c r="D58" s="180">
        <f>SUM(D55:D57)</f>
        <v>0</v>
      </c>
      <c r="E58" s="179" t="e">
        <f>F58/$D$10</f>
        <v>#DIV/0!</v>
      </c>
      <c r="F58" s="180">
        <f>SUM(F55:F57)</f>
        <v>0</v>
      </c>
      <c r="G58" s="179" t="e">
        <f>H58/$D$10</f>
        <v>#DIV/0!</v>
      </c>
      <c r="H58" s="180">
        <f>SUM(H55:H57)</f>
        <v>0</v>
      </c>
    </row>
    <row r="59" spans="1:8" x14ac:dyDescent="0.2">
      <c r="B59" s="176" t="s">
        <v>596</v>
      </c>
      <c r="C59" s="221" t="e">
        <f>D58/D10-1</f>
        <v>#DIV/0!</v>
      </c>
      <c r="D59" s="171">
        <f>D58-D10</f>
        <v>0</v>
      </c>
      <c r="E59" s="221" t="e">
        <f>F58/F10-1</f>
        <v>#DIV/0!</v>
      </c>
      <c r="F59" s="171">
        <f>F58-F10</f>
        <v>0</v>
      </c>
      <c r="G59" s="221" t="e">
        <f>H58/H10-1</f>
        <v>#DIV/0!</v>
      </c>
      <c r="H59" s="171">
        <f>H58-H10</f>
        <v>0</v>
      </c>
    </row>
    <row r="60" spans="1:8" x14ac:dyDescent="0.2">
      <c r="B60" s="176" t="s">
        <v>197</v>
      </c>
      <c r="C60" s="339">
        <v>1</v>
      </c>
      <c r="D60" s="171">
        <f>D58*C60</f>
        <v>0</v>
      </c>
      <c r="E60" s="339">
        <v>0</v>
      </c>
      <c r="F60" s="171">
        <f>F58*E60</f>
        <v>0</v>
      </c>
      <c r="G60" s="339">
        <f>1-C60-E60</f>
        <v>0</v>
      </c>
      <c r="H60" s="171">
        <f>H58*G60</f>
        <v>0</v>
      </c>
    </row>
    <row r="61" spans="1:8" ht="15" thickBot="1" x14ac:dyDescent="0.25">
      <c r="B61" s="176"/>
      <c r="C61" s="221"/>
      <c r="E61" s="221"/>
      <c r="G61" s="341">
        <f>C60+E60+G60</f>
        <v>1</v>
      </c>
    </row>
    <row r="62" spans="1:8" ht="30.75" thickBot="1" x14ac:dyDescent="0.25">
      <c r="A62" s="172"/>
      <c r="B62" s="243" t="s">
        <v>597</v>
      </c>
      <c r="C62" s="244"/>
      <c r="D62" s="242">
        <f>D60+F60+H60</f>
        <v>0</v>
      </c>
      <c r="E62" s="244"/>
      <c r="F62" s="240"/>
      <c r="G62" s="240"/>
      <c r="H62" s="240"/>
    </row>
    <row r="63" spans="1:8" x14ac:dyDescent="0.2">
      <c r="B63" s="328" t="s">
        <v>505</v>
      </c>
    </row>
  </sheetData>
  <sheetProtection algorithmName="SHA-512" hashValue="8WGJ+q2rZg58dl2lUU2s6/RBieCmsS+FTJnupeiarC+ph51TbNNQMMqGgspJAomZSMGEzwOXycFc3JnZjdHAhA==" saltValue="Op2zcHLHHVz39hH4kfTl1Q==" spinCount="100000" sheet="1" objects="1" scenarios="1"/>
  <mergeCells count="6">
    <mergeCell ref="G6:H7"/>
    <mergeCell ref="A1:B1"/>
    <mergeCell ref="C1:D1"/>
    <mergeCell ref="C3:D3"/>
    <mergeCell ref="C6:D7"/>
    <mergeCell ref="E6:F7"/>
  </mergeCells>
  <conditionalFormatting sqref="A6 B10">
    <cfRule type="expression" dxfId="27" priority="3">
      <formula>AND($D$10&lt;15,$D$10&gt;0)</formula>
    </cfRule>
  </conditionalFormatting>
  <conditionalFormatting sqref="C60 E60 G60">
    <cfRule type="expression" dxfId="26" priority="1">
      <formula>$G$61&lt;&gt;100%</formula>
    </cfRule>
  </conditionalFormatting>
  <printOptions horizontalCentered="1"/>
  <pageMargins left="0.55118110236220474" right="0.46" top="0.6692913385826772" bottom="1.1023622047244095" header="0.19685039370078741" footer="0.51181102362204722"/>
  <pageSetup paperSize="9" scale="70" orientation="portrait" r:id="rId1"/>
  <headerFooter alignWithMargins="0">
    <oddFooter>&amp;L&amp;8Ausschreibung Unterhaltsreinigung
&amp;A&amp;R&amp;8© Lean Consulting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48"/>
  <sheetViews>
    <sheetView zoomScaleNormal="100" workbookViewId="0"/>
  </sheetViews>
  <sheetFormatPr baseColWidth="10" defaultColWidth="11.5703125" defaultRowHeight="12.75" x14ac:dyDescent="0.2"/>
  <cols>
    <col min="1" max="1" width="2.7109375" style="256" customWidth="1"/>
    <col min="2" max="3" width="11.5703125" style="256"/>
    <col min="4" max="4" width="13.7109375" style="256" customWidth="1"/>
    <col min="5" max="6" width="11.5703125" style="256"/>
    <col min="7" max="7" width="15.28515625" style="256" bestFit="1" customWidth="1"/>
    <col min="8" max="8" width="2.5703125" style="256" customWidth="1"/>
    <col min="9" max="16384" width="11.5703125" style="256"/>
  </cols>
  <sheetData>
    <row r="1" spans="2:7" ht="13.5" thickBot="1" x14ac:dyDescent="0.25">
      <c r="B1" s="255" t="s">
        <v>200</v>
      </c>
    </row>
    <row r="2" spans="2:7" ht="13.5" thickBot="1" x14ac:dyDescent="0.25">
      <c r="B2" s="257">
        <v>2026</v>
      </c>
      <c r="C2" s="258" t="s">
        <v>201</v>
      </c>
      <c r="D2" s="258" t="s">
        <v>202</v>
      </c>
      <c r="E2" s="258" t="s">
        <v>203</v>
      </c>
      <c r="F2" s="259" t="s">
        <v>498</v>
      </c>
      <c r="G2" s="260" t="s">
        <v>204</v>
      </c>
    </row>
    <row r="3" spans="2:7" ht="13.5" thickTop="1" x14ac:dyDescent="0.2">
      <c r="B3" s="261" t="s">
        <v>205</v>
      </c>
      <c r="C3" s="290">
        <v>31</v>
      </c>
      <c r="D3" s="290">
        <v>9</v>
      </c>
      <c r="E3" s="290">
        <v>1</v>
      </c>
      <c r="F3" s="291">
        <v>2</v>
      </c>
      <c r="G3" s="262">
        <f>C3-SUM(D3:F3)</f>
        <v>19</v>
      </c>
    </row>
    <row r="4" spans="2:7" x14ac:dyDescent="0.2">
      <c r="B4" s="263" t="s">
        <v>206</v>
      </c>
      <c r="C4" s="292">
        <v>29</v>
      </c>
      <c r="D4" s="292">
        <v>8</v>
      </c>
      <c r="E4" s="292"/>
      <c r="F4" s="293">
        <v>2</v>
      </c>
      <c r="G4" s="264">
        <f t="shared" ref="G4:G14" si="0">C4-SUM(D4:F4)</f>
        <v>19</v>
      </c>
    </row>
    <row r="5" spans="2:7" x14ac:dyDescent="0.2">
      <c r="B5" s="263" t="s">
        <v>207</v>
      </c>
      <c r="C5" s="292">
        <v>31</v>
      </c>
      <c r="D5" s="292">
        <v>9</v>
      </c>
      <c r="E5" s="292"/>
      <c r="F5" s="293">
        <v>7</v>
      </c>
      <c r="G5" s="264">
        <f t="shared" si="0"/>
        <v>15</v>
      </c>
    </row>
    <row r="6" spans="2:7" x14ac:dyDescent="0.2">
      <c r="B6" s="263" t="s">
        <v>208</v>
      </c>
      <c r="C6" s="292">
        <v>30</v>
      </c>
      <c r="D6" s="292">
        <v>8</v>
      </c>
      <c r="E6" s="292">
        <v>2</v>
      </c>
      <c r="F6" s="293">
        <v>3</v>
      </c>
      <c r="G6" s="264">
        <f t="shared" si="0"/>
        <v>17</v>
      </c>
    </row>
    <row r="7" spans="2:7" x14ac:dyDescent="0.2">
      <c r="B7" s="263" t="s">
        <v>209</v>
      </c>
      <c r="C7" s="292">
        <v>31</v>
      </c>
      <c r="D7" s="292">
        <v>10</v>
      </c>
      <c r="E7" s="292">
        <v>3</v>
      </c>
      <c r="F7" s="293">
        <v>2</v>
      </c>
      <c r="G7" s="264">
        <f t="shared" si="0"/>
        <v>16</v>
      </c>
    </row>
    <row r="8" spans="2:7" x14ac:dyDescent="0.2">
      <c r="B8" s="263" t="s">
        <v>210</v>
      </c>
      <c r="C8" s="292">
        <v>30</v>
      </c>
      <c r="D8" s="292">
        <v>8</v>
      </c>
      <c r="E8" s="292"/>
      <c r="F8" s="293"/>
      <c r="G8" s="264">
        <f t="shared" si="0"/>
        <v>22</v>
      </c>
    </row>
    <row r="9" spans="2:7" x14ac:dyDescent="0.2">
      <c r="B9" s="263" t="s">
        <v>211</v>
      </c>
      <c r="C9" s="292">
        <v>31</v>
      </c>
      <c r="D9" s="292">
        <v>8</v>
      </c>
      <c r="E9" s="292"/>
      <c r="F9" s="293">
        <v>22</v>
      </c>
      <c r="G9" s="264">
        <f t="shared" si="0"/>
        <v>1</v>
      </c>
    </row>
    <row r="10" spans="2:7" x14ac:dyDescent="0.2">
      <c r="B10" s="263" t="s">
        <v>212</v>
      </c>
      <c r="C10" s="292">
        <v>31</v>
      </c>
      <c r="D10" s="292">
        <v>10</v>
      </c>
      <c r="E10" s="292"/>
      <c r="F10" s="293">
        <f>8-1</f>
        <v>7</v>
      </c>
      <c r="G10" s="264">
        <f t="shared" si="0"/>
        <v>14</v>
      </c>
    </row>
    <row r="11" spans="2:7" x14ac:dyDescent="0.2">
      <c r="B11" s="263" t="s">
        <v>213</v>
      </c>
      <c r="C11" s="292">
        <v>30</v>
      </c>
      <c r="D11" s="292">
        <v>8</v>
      </c>
      <c r="E11" s="292"/>
      <c r="F11" s="293"/>
      <c r="G11" s="264">
        <f t="shared" si="0"/>
        <v>22</v>
      </c>
    </row>
    <row r="12" spans="2:7" x14ac:dyDescent="0.2">
      <c r="B12" s="263" t="s">
        <v>214</v>
      </c>
      <c r="C12" s="292">
        <v>31</v>
      </c>
      <c r="D12" s="292">
        <v>7</v>
      </c>
      <c r="E12" s="292">
        <v>2</v>
      </c>
      <c r="F12" s="293">
        <v>10</v>
      </c>
      <c r="G12" s="264">
        <f t="shared" si="0"/>
        <v>12</v>
      </c>
    </row>
    <row r="13" spans="2:7" x14ac:dyDescent="0.2">
      <c r="B13" s="263" t="s">
        <v>215</v>
      </c>
      <c r="C13" s="292">
        <v>30</v>
      </c>
      <c r="D13" s="292">
        <v>9</v>
      </c>
      <c r="E13" s="292"/>
      <c r="F13" s="293"/>
      <c r="G13" s="264">
        <f t="shared" si="0"/>
        <v>21</v>
      </c>
    </row>
    <row r="14" spans="2:7" ht="13.5" thickBot="1" x14ac:dyDescent="0.25">
      <c r="B14" s="265" t="s">
        <v>216</v>
      </c>
      <c r="C14" s="294">
        <v>31</v>
      </c>
      <c r="D14" s="294">
        <v>7</v>
      </c>
      <c r="E14" s="294">
        <v>2</v>
      </c>
      <c r="F14" s="295">
        <v>6</v>
      </c>
      <c r="G14" s="266">
        <f t="shared" si="0"/>
        <v>16</v>
      </c>
    </row>
    <row r="15" spans="2:7" ht="14.25" thickTop="1" thickBot="1" x14ac:dyDescent="0.25">
      <c r="B15" s="267" t="s">
        <v>217</v>
      </c>
      <c r="C15" s="268">
        <f>SUM(C3:C14)</f>
        <v>366</v>
      </c>
      <c r="D15" s="268">
        <f t="shared" ref="D15:G15" si="1">SUM(D3:D14)</f>
        <v>101</v>
      </c>
      <c r="E15" s="268">
        <f t="shared" si="1"/>
        <v>10</v>
      </c>
      <c r="F15" s="269">
        <f t="shared" si="1"/>
        <v>61</v>
      </c>
      <c r="G15" s="270">
        <f t="shared" si="1"/>
        <v>194</v>
      </c>
    </row>
    <row r="16" spans="2:7" x14ac:dyDescent="0.2">
      <c r="C16" s="287" t="s">
        <v>499</v>
      </c>
    </row>
    <row r="18" spans="2:12" ht="13.5" thickBot="1" x14ac:dyDescent="0.25">
      <c r="B18" s="255" t="s">
        <v>266</v>
      </c>
    </row>
    <row r="19" spans="2:12" ht="13.5" thickBot="1" x14ac:dyDescent="0.25">
      <c r="B19" s="257">
        <v>2026</v>
      </c>
      <c r="C19" s="258" t="s">
        <v>201</v>
      </c>
      <c r="D19" s="258" t="s">
        <v>202</v>
      </c>
      <c r="E19" s="258" t="s">
        <v>203</v>
      </c>
      <c r="F19" s="259" t="s">
        <v>224</v>
      </c>
      <c r="G19" s="260" t="s">
        <v>204</v>
      </c>
    </row>
    <row r="20" spans="2:12" ht="13.5" thickTop="1" x14ac:dyDescent="0.2">
      <c r="B20" s="261" t="s">
        <v>205</v>
      </c>
      <c r="C20" s="290">
        <v>31</v>
      </c>
      <c r="D20" s="290">
        <v>9</v>
      </c>
      <c r="E20" s="290">
        <v>1</v>
      </c>
      <c r="F20" s="291"/>
      <c r="G20" s="262">
        <f>C20-SUM(D20:F20)</f>
        <v>21</v>
      </c>
    </row>
    <row r="21" spans="2:12" x14ac:dyDescent="0.2">
      <c r="B21" s="263" t="s">
        <v>206</v>
      </c>
      <c r="C21" s="292">
        <v>29</v>
      </c>
      <c r="D21" s="292">
        <v>8</v>
      </c>
      <c r="E21" s="292"/>
      <c r="F21" s="293"/>
      <c r="G21" s="264">
        <f t="shared" ref="G21:G31" si="2">C21-SUM(D21:F21)</f>
        <v>21</v>
      </c>
    </row>
    <row r="22" spans="2:12" ht="13.5" thickBot="1" x14ac:dyDescent="0.25">
      <c r="B22" s="263" t="s">
        <v>207</v>
      </c>
      <c r="C22" s="292">
        <v>31</v>
      </c>
      <c r="D22" s="292">
        <v>9</v>
      </c>
      <c r="E22" s="292"/>
      <c r="F22" s="293"/>
      <c r="G22" s="264">
        <f t="shared" si="2"/>
        <v>22</v>
      </c>
    </row>
    <row r="23" spans="2:12" x14ac:dyDescent="0.2">
      <c r="B23" s="263" t="s">
        <v>208</v>
      </c>
      <c r="C23" s="292">
        <v>30</v>
      </c>
      <c r="D23" s="292">
        <v>8</v>
      </c>
      <c r="E23" s="292">
        <v>2</v>
      </c>
      <c r="F23" s="293"/>
      <c r="G23" s="264">
        <f t="shared" si="2"/>
        <v>20</v>
      </c>
      <c r="I23" s="271" t="s">
        <v>218</v>
      </c>
      <c r="J23" s="284" t="s">
        <v>232</v>
      </c>
      <c r="K23" s="278"/>
      <c r="L23" s="279"/>
    </row>
    <row r="24" spans="2:12" ht="13.5" thickBot="1" x14ac:dyDescent="0.25">
      <c r="B24" s="263" t="s">
        <v>209</v>
      </c>
      <c r="C24" s="292">
        <v>31</v>
      </c>
      <c r="D24" s="292">
        <v>10</v>
      </c>
      <c r="E24" s="292">
        <v>3</v>
      </c>
      <c r="F24" s="293"/>
      <c r="G24" s="264">
        <f t="shared" si="2"/>
        <v>18</v>
      </c>
      <c r="I24" s="272" t="s">
        <v>219</v>
      </c>
      <c r="J24" s="273" t="s">
        <v>220</v>
      </c>
      <c r="K24" s="273"/>
      <c r="L24" s="274"/>
    </row>
    <row r="25" spans="2:12" x14ac:dyDescent="0.2">
      <c r="B25" s="263" t="s">
        <v>210</v>
      </c>
      <c r="C25" s="292">
        <v>30</v>
      </c>
      <c r="D25" s="292">
        <v>8</v>
      </c>
      <c r="E25" s="292"/>
      <c r="F25" s="293"/>
      <c r="G25" s="264">
        <f t="shared" si="2"/>
        <v>22</v>
      </c>
    </row>
    <row r="26" spans="2:12" x14ac:dyDescent="0.2">
      <c r="B26" s="263" t="s">
        <v>211</v>
      </c>
      <c r="C26" s="292">
        <v>31</v>
      </c>
      <c r="D26" s="292">
        <v>8</v>
      </c>
      <c r="E26" s="292"/>
      <c r="F26" s="293">
        <v>15</v>
      </c>
      <c r="G26" s="264">
        <f t="shared" si="2"/>
        <v>8</v>
      </c>
    </row>
    <row r="27" spans="2:12" x14ac:dyDescent="0.2">
      <c r="B27" s="263" t="s">
        <v>212</v>
      </c>
      <c r="C27" s="292">
        <v>31</v>
      </c>
      <c r="D27" s="292">
        <v>10</v>
      </c>
      <c r="E27" s="292"/>
      <c r="F27" s="293"/>
      <c r="G27" s="264">
        <f t="shared" si="2"/>
        <v>21</v>
      </c>
    </row>
    <row r="28" spans="2:12" x14ac:dyDescent="0.2">
      <c r="B28" s="263" t="s">
        <v>213</v>
      </c>
      <c r="C28" s="292">
        <v>30</v>
      </c>
      <c r="D28" s="292">
        <v>8</v>
      </c>
      <c r="E28" s="292"/>
      <c r="F28" s="293"/>
      <c r="G28" s="264">
        <f t="shared" si="2"/>
        <v>22</v>
      </c>
    </row>
    <row r="29" spans="2:12" x14ac:dyDescent="0.2">
      <c r="B29" s="263" t="s">
        <v>214</v>
      </c>
      <c r="C29" s="292">
        <v>31</v>
      </c>
      <c r="D29" s="292">
        <v>7</v>
      </c>
      <c r="E29" s="292">
        <v>2</v>
      </c>
      <c r="F29" s="293"/>
      <c r="G29" s="264">
        <f t="shared" si="2"/>
        <v>22</v>
      </c>
    </row>
    <row r="30" spans="2:12" x14ac:dyDescent="0.2">
      <c r="B30" s="263" t="s">
        <v>215</v>
      </c>
      <c r="C30" s="292">
        <v>30</v>
      </c>
      <c r="D30" s="292">
        <v>9</v>
      </c>
      <c r="E30" s="292"/>
      <c r="F30" s="293"/>
      <c r="G30" s="264">
        <f t="shared" si="2"/>
        <v>21</v>
      </c>
    </row>
    <row r="31" spans="2:12" ht="13.5" thickBot="1" x14ac:dyDescent="0.25">
      <c r="B31" s="265" t="s">
        <v>216</v>
      </c>
      <c r="C31" s="294">
        <v>31</v>
      </c>
      <c r="D31" s="294">
        <v>7</v>
      </c>
      <c r="E31" s="294">
        <v>2</v>
      </c>
      <c r="F31" s="295">
        <v>4</v>
      </c>
      <c r="G31" s="266">
        <f t="shared" si="2"/>
        <v>18</v>
      </c>
    </row>
    <row r="32" spans="2:12" ht="14.25" thickTop="1" thickBot="1" x14ac:dyDescent="0.25">
      <c r="B32" s="267" t="s">
        <v>217</v>
      </c>
      <c r="C32" s="268">
        <f>SUM(C20:C31)</f>
        <v>366</v>
      </c>
      <c r="D32" s="268">
        <f t="shared" ref="D32:G32" si="3">SUM(D20:D31)</f>
        <v>101</v>
      </c>
      <c r="E32" s="268">
        <f t="shared" si="3"/>
        <v>10</v>
      </c>
      <c r="F32" s="269"/>
      <c r="G32" s="270">
        <f t="shared" si="3"/>
        <v>236</v>
      </c>
    </row>
    <row r="34" spans="2:7" ht="13.5" thickBot="1" x14ac:dyDescent="0.25">
      <c r="B34" s="255" t="s">
        <v>541</v>
      </c>
    </row>
    <row r="35" spans="2:7" ht="13.5" thickBot="1" x14ac:dyDescent="0.25">
      <c r="B35" s="257">
        <v>2026</v>
      </c>
      <c r="C35" s="258" t="s">
        <v>201</v>
      </c>
      <c r="D35" s="258" t="s">
        <v>202</v>
      </c>
      <c r="E35" s="258" t="s">
        <v>203</v>
      </c>
      <c r="F35" s="259"/>
      <c r="G35" s="260" t="s">
        <v>204</v>
      </c>
    </row>
    <row r="36" spans="2:7" ht="13.5" thickTop="1" x14ac:dyDescent="0.2">
      <c r="B36" s="261" t="s">
        <v>205</v>
      </c>
      <c r="C36" s="290">
        <v>31</v>
      </c>
      <c r="D36" s="290">
        <v>9</v>
      </c>
      <c r="E36" s="290">
        <v>1</v>
      </c>
      <c r="F36" s="291"/>
      <c r="G36" s="262">
        <f>C36-SUM(D36:F36)</f>
        <v>21</v>
      </c>
    </row>
    <row r="37" spans="2:7" x14ac:dyDescent="0.2">
      <c r="B37" s="263" t="s">
        <v>206</v>
      </c>
      <c r="C37" s="292">
        <v>29</v>
      </c>
      <c r="D37" s="292">
        <v>8</v>
      </c>
      <c r="E37" s="292"/>
      <c r="F37" s="293"/>
      <c r="G37" s="264">
        <f t="shared" ref="G37:G47" si="4">C37-SUM(D37:F37)</f>
        <v>21</v>
      </c>
    </row>
    <row r="38" spans="2:7" x14ac:dyDescent="0.2">
      <c r="B38" s="263" t="s">
        <v>207</v>
      </c>
      <c r="C38" s="292">
        <v>31</v>
      </c>
      <c r="D38" s="292">
        <v>9</v>
      </c>
      <c r="E38" s="292"/>
      <c r="F38" s="293"/>
      <c r="G38" s="264">
        <f t="shared" si="4"/>
        <v>22</v>
      </c>
    </row>
    <row r="39" spans="2:7" x14ac:dyDescent="0.2">
      <c r="B39" s="263" t="s">
        <v>208</v>
      </c>
      <c r="C39" s="292">
        <v>30</v>
      </c>
      <c r="D39" s="292">
        <v>8</v>
      </c>
      <c r="E39" s="292">
        <v>2</v>
      </c>
      <c r="F39" s="293"/>
      <c r="G39" s="264">
        <f t="shared" si="4"/>
        <v>20</v>
      </c>
    </row>
    <row r="40" spans="2:7" x14ac:dyDescent="0.2">
      <c r="B40" s="263" t="s">
        <v>209</v>
      </c>
      <c r="C40" s="292">
        <v>31</v>
      </c>
      <c r="D40" s="292">
        <v>10</v>
      </c>
      <c r="E40" s="292">
        <v>3</v>
      </c>
      <c r="F40" s="293"/>
      <c r="G40" s="264">
        <f t="shared" si="4"/>
        <v>18</v>
      </c>
    </row>
    <row r="41" spans="2:7" x14ac:dyDescent="0.2">
      <c r="B41" s="263" t="s">
        <v>210</v>
      </c>
      <c r="C41" s="292">
        <v>30</v>
      </c>
      <c r="D41" s="292">
        <v>8</v>
      </c>
      <c r="E41" s="292"/>
      <c r="F41" s="293"/>
      <c r="G41" s="264">
        <f t="shared" si="4"/>
        <v>22</v>
      </c>
    </row>
    <row r="42" spans="2:7" x14ac:dyDescent="0.2">
      <c r="B42" s="263" t="s">
        <v>211</v>
      </c>
      <c r="C42" s="292">
        <v>31</v>
      </c>
      <c r="D42" s="292">
        <v>8</v>
      </c>
      <c r="E42" s="292"/>
      <c r="F42" s="293"/>
      <c r="G42" s="264">
        <f t="shared" si="4"/>
        <v>23</v>
      </c>
    </row>
    <row r="43" spans="2:7" x14ac:dyDescent="0.2">
      <c r="B43" s="263" t="s">
        <v>212</v>
      </c>
      <c r="C43" s="292">
        <v>31</v>
      </c>
      <c r="D43" s="292">
        <v>10</v>
      </c>
      <c r="E43" s="292"/>
      <c r="F43" s="293"/>
      <c r="G43" s="264">
        <f t="shared" si="4"/>
        <v>21</v>
      </c>
    </row>
    <row r="44" spans="2:7" x14ac:dyDescent="0.2">
      <c r="B44" s="263" t="s">
        <v>213</v>
      </c>
      <c r="C44" s="292">
        <v>30</v>
      </c>
      <c r="D44" s="292">
        <v>8</v>
      </c>
      <c r="E44" s="292"/>
      <c r="F44" s="293"/>
      <c r="G44" s="264">
        <f t="shared" si="4"/>
        <v>22</v>
      </c>
    </row>
    <row r="45" spans="2:7" x14ac:dyDescent="0.2">
      <c r="B45" s="263" t="s">
        <v>214</v>
      </c>
      <c r="C45" s="292">
        <v>31</v>
      </c>
      <c r="D45" s="292">
        <v>7</v>
      </c>
      <c r="E45" s="292">
        <v>2</v>
      </c>
      <c r="F45" s="293"/>
      <c r="G45" s="264">
        <f t="shared" si="4"/>
        <v>22</v>
      </c>
    </row>
    <row r="46" spans="2:7" x14ac:dyDescent="0.2">
      <c r="B46" s="263" t="s">
        <v>215</v>
      </c>
      <c r="C46" s="292">
        <v>30</v>
      </c>
      <c r="D46" s="292">
        <v>9</v>
      </c>
      <c r="E46" s="292"/>
      <c r="F46" s="293"/>
      <c r="G46" s="264">
        <f t="shared" si="4"/>
        <v>21</v>
      </c>
    </row>
    <row r="47" spans="2:7" ht="13.5" thickBot="1" x14ac:dyDescent="0.25">
      <c r="B47" s="265" t="s">
        <v>216</v>
      </c>
      <c r="C47" s="294">
        <v>31</v>
      </c>
      <c r="D47" s="294">
        <v>7</v>
      </c>
      <c r="E47" s="294">
        <v>2</v>
      </c>
      <c r="F47" s="295"/>
      <c r="G47" s="266">
        <f t="shared" si="4"/>
        <v>22</v>
      </c>
    </row>
    <row r="48" spans="2:7" ht="14.25" thickTop="1" thickBot="1" x14ac:dyDescent="0.25">
      <c r="B48" s="267" t="s">
        <v>217</v>
      </c>
      <c r="C48" s="268">
        <f>SUM(C36:C47)</f>
        <v>366</v>
      </c>
      <c r="D48" s="268">
        <f t="shared" ref="D48:G48" si="5">SUM(D36:D47)</f>
        <v>101</v>
      </c>
      <c r="E48" s="268">
        <f t="shared" si="5"/>
        <v>10</v>
      </c>
      <c r="F48" s="269">
        <f t="shared" si="5"/>
        <v>0</v>
      </c>
      <c r="G48" s="270">
        <f t="shared" si="5"/>
        <v>255</v>
      </c>
    </row>
  </sheetData>
  <sheetProtection algorithmName="SHA-512" hashValue="XFWMW0szeDtLXbVUIMUpMTIR5O6eTITK189i2CzMqQgCpBp1WJUrNadU3Tp3at4fpYsWp9ooCRsuJA6HhPlNjw==" saltValue="os5YAJ5lzABpweSsxhNx1Q==" spinCount="100000" sheet="1" objects="1" scenarios="1"/>
  <pageMargins left="0.3" right="0.47" top="0.78740157499999996" bottom="0.78740157499999996" header="0.3" footer="0.3"/>
  <pageSetup paperSize="9" fitToHeight="0" orientation="portrait" r:id="rId1"/>
  <headerFooter>
    <oddFooter>&amp;L&amp;8Ausschreibung Unterhaltsreinigung
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54"/>
  <sheetViews>
    <sheetView zoomScale="85" zoomScaleNormal="85" workbookViewId="0">
      <pane ySplit="7" topLeftCell="A8" activePane="bottomLeft" state="frozen"/>
      <selection pane="bottomLeft" activeCell="F9" sqref="F9"/>
    </sheetView>
  </sheetViews>
  <sheetFormatPr baseColWidth="10" defaultRowHeight="12.75" x14ac:dyDescent="0.2"/>
  <cols>
    <col min="1" max="1" width="12.7109375" style="5" customWidth="1"/>
    <col min="2" max="2" width="49.140625" style="3" customWidth="1"/>
    <col min="3" max="5" width="8.7109375" style="3" customWidth="1"/>
    <col min="6" max="6" width="25" style="4" customWidth="1"/>
  </cols>
  <sheetData>
    <row r="1" spans="1:6" ht="18.75" customHeight="1" x14ac:dyDescent="0.2">
      <c r="A1" s="6" t="s">
        <v>11</v>
      </c>
      <c r="B1" s="193"/>
      <c r="C1" s="193"/>
      <c r="D1" s="193"/>
      <c r="E1" s="193"/>
      <c r="F1" s="194"/>
    </row>
    <row r="2" spans="1:6" ht="18.75" customHeight="1" thickBot="1" x14ac:dyDescent="0.25">
      <c r="A2" s="7" t="s">
        <v>3</v>
      </c>
      <c r="B2" s="8" t="str">
        <f>IF(Bieter&lt;&gt;"",Bieter,"Bietername fehlt !")</f>
        <v>Bietername fehlt !</v>
      </c>
      <c r="C2" s="8"/>
      <c r="D2" s="8"/>
      <c r="E2" s="8"/>
      <c r="F2" s="195"/>
    </row>
    <row r="3" spans="1:6" ht="32.1" customHeight="1" thickBot="1" x14ac:dyDescent="0.25">
      <c r="A3" s="196"/>
      <c r="B3" s="197"/>
      <c r="C3" s="382" t="s">
        <v>466</v>
      </c>
      <c r="D3" s="383"/>
      <c r="E3" s="383"/>
      <c r="F3" s="384"/>
    </row>
    <row r="4" spans="1:6" ht="32.1" customHeight="1" thickBot="1" x14ac:dyDescent="0.25">
      <c r="A4" s="198" t="s">
        <v>9</v>
      </c>
      <c r="B4" s="199"/>
      <c r="C4" s="385"/>
      <c r="D4" s="386"/>
      <c r="E4" s="386"/>
      <c r="F4" s="387"/>
    </row>
    <row r="5" spans="1:6" ht="18.75" customHeight="1" thickBot="1" x14ac:dyDescent="0.25">
      <c r="A5" s="201"/>
      <c r="B5" s="199"/>
      <c r="C5" s="333">
        <v>1</v>
      </c>
      <c r="D5" s="199"/>
      <c r="E5" s="199"/>
      <c r="F5" s="200"/>
    </row>
    <row r="6" spans="1:6" ht="39" customHeight="1" x14ac:dyDescent="0.2">
      <c r="A6" s="343">
        <v>46477</v>
      </c>
      <c r="B6" s="193"/>
      <c r="C6" s="380" t="s">
        <v>59</v>
      </c>
      <c r="D6" s="380"/>
      <c r="E6" s="381"/>
      <c r="F6" s="202" t="s">
        <v>445</v>
      </c>
    </row>
    <row r="7" spans="1:6" ht="32.1" customHeight="1" thickBot="1" x14ac:dyDescent="0.25">
      <c r="A7" s="203" t="s">
        <v>20</v>
      </c>
      <c r="B7" s="204"/>
      <c r="C7" s="205" t="s">
        <v>27</v>
      </c>
      <c r="D7" s="205" t="s">
        <v>28</v>
      </c>
      <c r="E7" s="205" t="s">
        <v>29</v>
      </c>
      <c r="F7" s="206" t="s">
        <v>10</v>
      </c>
    </row>
    <row r="8" spans="1:6" ht="39" customHeight="1" thickTop="1" x14ac:dyDescent="0.2">
      <c r="A8" s="210"/>
      <c r="B8" s="211" t="s">
        <v>143</v>
      </c>
      <c r="C8" s="212"/>
      <c r="D8" s="212"/>
      <c r="E8" s="212"/>
      <c r="F8" s="307"/>
    </row>
    <row r="9" spans="1:6" ht="39" customHeight="1" x14ac:dyDescent="0.2">
      <c r="A9" s="207" t="s">
        <v>142</v>
      </c>
      <c r="B9" s="208" t="s">
        <v>179</v>
      </c>
      <c r="C9" s="209">
        <v>1</v>
      </c>
      <c r="D9" s="209"/>
      <c r="E9" s="209"/>
      <c r="F9" s="216">
        <v>0</v>
      </c>
    </row>
    <row r="10" spans="1:6" ht="39" customHeight="1" x14ac:dyDescent="0.2">
      <c r="A10" s="207" t="s">
        <v>91</v>
      </c>
      <c r="B10" s="208" t="s">
        <v>179</v>
      </c>
      <c r="C10" s="209">
        <v>5</v>
      </c>
      <c r="D10" s="209"/>
      <c r="E10" s="209"/>
      <c r="F10" s="216">
        <v>0</v>
      </c>
    </row>
    <row r="11" spans="1:6" ht="39" customHeight="1" x14ac:dyDescent="0.2">
      <c r="A11" s="207" t="s">
        <v>72</v>
      </c>
      <c r="B11" s="208" t="s">
        <v>92</v>
      </c>
      <c r="C11" s="209">
        <v>5</v>
      </c>
      <c r="D11" s="209"/>
      <c r="E11" s="209"/>
      <c r="F11" s="216">
        <v>0</v>
      </c>
    </row>
    <row r="12" spans="1:6" ht="39" customHeight="1" x14ac:dyDescent="0.2">
      <c r="A12" s="207" t="s">
        <v>144</v>
      </c>
      <c r="B12" s="208" t="s">
        <v>180</v>
      </c>
      <c r="C12" s="209">
        <v>5</v>
      </c>
      <c r="D12" s="209"/>
      <c r="E12" s="209"/>
      <c r="F12" s="216">
        <v>0</v>
      </c>
    </row>
    <row r="13" spans="1:6" ht="39" customHeight="1" x14ac:dyDescent="0.2">
      <c r="A13" s="207" t="s">
        <v>145</v>
      </c>
      <c r="B13" s="208" t="s">
        <v>182</v>
      </c>
      <c r="C13" s="209">
        <v>1</v>
      </c>
      <c r="D13" s="209"/>
      <c r="E13" s="209"/>
      <c r="F13" s="216">
        <v>0</v>
      </c>
    </row>
    <row r="14" spans="1:6" ht="39" customHeight="1" x14ac:dyDescent="0.2">
      <c r="A14" s="207" t="s">
        <v>146</v>
      </c>
      <c r="B14" s="208" t="s">
        <v>182</v>
      </c>
      <c r="C14" s="209">
        <v>5</v>
      </c>
      <c r="D14" s="209"/>
      <c r="E14" s="209"/>
      <c r="F14" s="216">
        <v>0</v>
      </c>
    </row>
    <row r="15" spans="1:6" ht="39" customHeight="1" x14ac:dyDescent="0.2">
      <c r="A15" s="207" t="s">
        <v>73</v>
      </c>
      <c r="B15" s="208" t="s">
        <v>176</v>
      </c>
      <c r="C15" s="209">
        <v>1</v>
      </c>
      <c r="D15" s="209"/>
      <c r="E15" s="209"/>
      <c r="F15" s="216">
        <v>0</v>
      </c>
    </row>
    <row r="16" spans="1:6" ht="39" customHeight="1" x14ac:dyDescent="0.2">
      <c r="A16" s="308" t="s">
        <v>451</v>
      </c>
      <c r="B16" s="208" t="s">
        <v>177</v>
      </c>
      <c r="C16" s="209">
        <v>2.5</v>
      </c>
      <c r="D16" s="209"/>
      <c r="E16" s="209"/>
      <c r="F16" s="216">
        <v>0</v>
      </c>
    </row>
    <row r="17" spans="1:6" ht="39" customHeight="1" x14ac:dyDescent="0.2">
      <c r="A17" s="207" t="s">
        <v>147</v>
      </c>
      <c r="B17" s="208" t="s">
        <v>177</v>
      </c>
      <c r="C17" s="209">
        <v>5</v>
      </c>
      <c r="D17" s="209"/>
      <c r="E17" s="209"/>
      <c r="F17" s="216">
        <v>0</v>
      </c>
    </row>
    <row r="18" spans="1:6" ht="39" customHeight="1" x14ac:dyDescent="0.2">
      <c r="A18" s="308" t="s">
        <v>545</v>
      </c>
      <c r="B18" s="285" t="s">
        <v>546</v>
      </c>
      <c r="C18" s="209">
        <v>1</v>
      </c>
      <c r="D18" s="209"/>
      <c r="E18" s="209"/>
      <c r="F18" s="216">
        <v>0</v>
      </c>
    </row>
    <row r="19" spans="1:6" ht="39" customHeight="1" x14ac:dyDescent="0.2">
      <c r="A19" s="308" t="s">
        <v>450</v>
      </c>
      <c r="B19" s="285" t="s">
        <v>547</v>
      </c>
      <c r="C19" s="209"/>
      <c r="D19" s="209">
        <v>2</v>
      </c>
      <c r="E19" s="209"/>
      <c r="F19" s="216">
        <v>0</v>
      </c>
    </row>
    <row r="20" spans="1:6" ht="39" customHeight="1" x14ac:dyDescent="0.2">
      <c r="A20" s="207" t="s">
        <v>74</v>
      </c>
      <c r="B20" s="208" t="s">
        <v>89</v>
      </c>
      <c r="C20" s="209">
        <v>1</v>
      </c>
      <c r="D20" s="209"/>
      <c r="E20" s="209"/>
      <c r="F20" s="216">
        <v>0</v>
      </c>
    </row>
    <row r="21" spans="1:6" ht="39" customHeight="1" x14ac:dyDescent="0.2">
      <c r="A21" s="207" t="s">
        <v>75</v>
      </c>
      <c r="B21" s="208" t="s">
        <v>89</v>
      </c>
      <c r="C21" s="209">
        <v>5</v>
      </c>
      <c r="D21" s="209"/>
      <c r="E21" s="209"/>
      <c r="F21" s="216">
        <v>0</v>
      </c>
    </row>
    <row r="22" spans="1:6" ht="39" customHeight="1" x14ac:dyDescent="0.2">
      <c r="A22" s="308" t="s">
        <v>448</v>
      </c>
      <c r="B22" s="208" t="s">
        <v>93</v>
      </c>
      <c r="C22" s="209"/>
      <c r="D22" s="209"/>
      <c r="E22" s="209">
        <v>4</v>
      </c>
      <c r="F22" s="216">
        <v>0</v>
      </c>
    </row>
    <row r="23" spans="1:6" ht="39" customHeight="1" x14ac:dyDescent="0.2">
      <c r="A23" s="207" t="s">
        <v>77</v>
      </c>
      <c r="B23" s="208" t="s">
        <v>93</v>
      </c>
      <c r="C23" s="209">
        <v>1</v>
      </c>
      <c r="D23" s="209"/>
      <c r="E23" s="209"/>
      <c r="F23" s="216">
        <v>0</v>
      </c>
    </row>
    <row r="24" spans="1:6" ht="39" customHeight="1" x14ac:dyDescent="0.2">
      <c r="A24" s="207" t="s">
        <v>76</v>
      </c>
      <c r="B24" s="208" t="s">
        <v>93</v>
      </c>
      <c r="C24" s="209">
        <v>5</v>
      </c>
      <c r="D24" s="209"/>
      <c r="E24" s="209"/>
      <c r="F24" s="216">
        <v>0</v>
      </c>
    </row>
    <row r="25" spans="1:6" ht="39" customHeight="1" x14ac:dyDescent="0.2">
      <c r="A25" s="207" t="s">
        <v>79</v>
      </c>
      <c r="B25" s="208" t="s">
        <v>67</v>
      </c>
      <c r="C25" s="209">
        <v>5</v>
      </c>
      <c r="D25" s="209"/>
      <c r="E25" s="209"/>
      <c r="F25" s="216">
        <v>0</v>
      </c>
    </row>
    <row r="26" spans="1:6" ht="39" customHeight="1" x14ac:dyDescent="0.2">
      <c r="A26" s="308" t="s">
        <v>449</v>
      </c>
      <c r="B26" s="208" t="s">
        <v>178</v>
      </c>
      <c r="C26" s="209">
        <v>4</v>
      </c>
      <c r="D26" s="209"/>
      <c r="E26" s="209"/>
      <c r="F26" s="216">
        <v>0</v>
      </c>
    </row>
    <row r="27" spans="1:6" ht="39" customHeight="1" x14ac:dyDescent="0.2">
      <c r="A27" s="207" t="s">
        <v>80</v>
      </c>
      <c r="B27" s="208" t="s">
        <v>178</v>
      </c>
      <c r="C27" s="209">
        <v>5</v>
      </c>
      <c r="D27" s="209"/>
      <c r="E27" s="209"/>
      <c r="F27" s="216">
        <v>0</v>
      </c>
    </row>
    <row r="28" spans="1:6" ht="39" customHeight="1" x14ac:dyDescent="0.2">
      <c r="A28" s="207" t="s">
        <v>88</v>
      </c>
      <c r="B28" s="208" t="s">
        <v>87</v>
      </c>
      <c r="C28" s="209">
        <v>5</v>
      </c>
      <c r="D28" s="209"/>
      <c r="E28" s="209"/>
      <c r="F28" s="216">
        <v>0</v>
      </c>
    </row>
    <row r="29" spans="1:6" ht="39" customHeight="1" x14ac:dyDescent="0.2">
      <c r="A29" s="207" t="s">
        <v>81</v>
      </c>
      <c r="B29" s="208" t="s">
        <v>23</v>
      </c>
      <c r="C29" s="209"/>
      <c r="D29" s="209"/>
      <c r="E29" s="209">
        <v>4</v>
      </c>
      <c r="F29" s="216">
        <v>0</v>
      </c>
    </row>
    <row r="30" spans="1:6" ht="39" customHeight="1" x14ac:dyDescent="0.2">
      <c r="A30" s="207" t="s">
        <v>90</v>
      </c>
      <c r="B30" s="208" t="s">
        <v>23</v>
      </c>
      <c r="C30" s="209">
        <v>1</v>
      </c>
      <c r="D30" s="209"/>
      <c r="E30" s="209"/>
      <c r="F30" s="216">
        <v>0</v>
      </c>
    </row>
    <row r="31" spans="1:6" ht="39" customHeight="1" x14ac:dyDescent="0.2">
      <c r="A31" s="308" t="s">
        <v>456</v>
      </c>
      <c r="B31" s="208" t="s">
        <v>23</v>
      </c>
      <c r="C31" s="209">
        <v>2.5</v>
      </c>
      <c r="D31" s="209"/>
      <c r="E31" s="209"/>
      <c r="F31" s="216">
        <v>0</v>
      </c>
    </row>
    <row r="32" spans="1:6" ht="39" customHeight="1" x14ac:dyDescent="0.2">
      <c r="A32" s="207" t="s">
        <v>78</v>
      </c>
      <c r="B32" s="208" t="s">
        <v>94</v>
      </c>
      <c r="C32" s="209">
        <v>5</v>
      </c>
      <c r="D32" s="209"/>
      <c r="E32" s="209"/>
      <c r="F32" s="216">
        <v>0</v>
      </c>
    </row>
    <row r="33" spans="1:6" ht="39" customHeight="1" x14ac:dyDescent="0.2">
      <c r="A33" s="207" t="s">
        <v>84</v>
      </c>
      <c r="B33" s="208" t="s">
        <v>135</v>
      </c>
      <c r="C33" s="209">
        <v>5</v>
      </c>
      <c r="D33" s="209"/>
      <c r="E33" s="209"/>
      <c r="F33" s="216">
        <v>0</v>
      </c>
    </row>
    <row r="34" spans="1:6" ht="39" customHeight="1" x14ac:dyDescent="0.2">
      <c r="A34" s="207" t="s">
        <v>82</v>
      </c>
      <c r="B34" s="208" t="s">
        <v>136</v>
      </c>
      <c r="C34" s="209"/>
      <c r="D34" s="209"/>
      <c r="E34" s="209">
        <v>1</v>
      </c>
      <c r="F34" s="216">
        <v>0</v>
      </c>
    </row>
    <row r="35" spans="1:6" ht="39" customHeight="1" x14ac:dyDescent="0.2">
      <c r="A35" s="210"/>
      <c r="B35" s="211" t="s">
        <v>444</v>
      </c>
      <c r="C35" s="212"/>
      <c r="D35" s="212"/>
      <c r="E35" s="212"/>
      <c r="F35" s="309"/>
    </row>
    <row r="36" spans="1:6" ht="39" customHeight="1" x14ac:dyDescent="0.2">
      <c r="A36" s="207" t="s">
        <v>148</v>
      </c>
      <c r="B36" s="208" t="s">
        <v>137</v>
      </c>
      <c r="C36" s="209">
        <v>5</v>
      </c>
      <c r="D36" s="209"/>
      <c r="E36" s="209"/>
      <c r="F36" s="216">
        <v>0</v>
      </c>
    </row>
    <row r="37" spans="1:6" ht="39" customHeight="1" x14ac:dyDescent="0.2">
      <c r="A37" s="207" t="s">
        <v>85</v>
      </c>
      <c r="B37" s="208" t="s">
        <v>68</v>
      </c>
      <c r="C37" s="209">
        <v>5</v>
      </c>
      <c r="D37" s="209"/>
      <c r="E37" s="209"/>
      <c r="F37" s="216">
        <v>0</v>
      </c>
    </row>
    <row r="38" spans="1:6" ht="39" customHeight="1" x14ac:dyDescent="0.2">
      <c r="A38" s="207" t="s">
        <v>149</v>
      </c>
      <c r="B38" s="208" t="s">
        <v>67</v>
      </c>
      <c r="C38" s="209">
        <v>5</v>
      </c>
      <c r="D38" s="209"/>
      <c r="E38" s="209"/>
      <c r="F38" s="216">
        <v>0</v>
      </c>
    </row>
    <row r="39" spans="1:6" ht="39" customHeight="1" x14ac:dyDescent="0.2">
      <c r="A39" s="207" t="s">
        <v>150</v>
      </c>
      <c r="B39" s="208" t="s">
        <v>138</v>
      </c>
      <c r="C39" s="209">
        <v>5</v>
      </c>
      <c r="D39" s="209"/>
      <c r="E39" s="209"/>
      <c r="F39" s="216">
        <v>0</v>
      </c>
    </row>
    <row r="40" spans="1:6" ht="39" customHeight="1" x14ac:dyDescent="0.2">
      <c r="A40" s="207" t="s">
        <v>151</v>
      </c>
      <c r="B40" s="208" t="s">
        <v>93</v>
      </c>
      <c r="C40" s="209">
        <v>5</v>
      </c>
      <c r="D40" s="209"/>
      <c r="E40" s="209"/>
      <c r="F40" s="216">
        <v>0</v>
      </c>
    </row>
    <row r="41" spans="1:6" ht="39" customHeight="1" x14ac:dyDescent="0.2">
      <c r="A41" s="207" t="s">
        <v>152</v>
      </c>
      <c r="B41" s="208" t="s">
        <v>86</v>
      </c>
      <c r="C41" s="209">
        <v>5</v>
      </c>
      <c r="D41" s="209"/>
      <c r="E41" s="209"/>
      <c r="F41" s="216">
        <v>0</v>
      </c>
    </row>
    <row r="42" spans="1:6" ht="39" customHeight="1" x14ac:dyDescent="0.2">
      <c r="A42" s="207" t="s">
        <v>153</v>
      </c>
      <c r="B42" s="208" t="s">
        <v>139</v>
      </c>
      <c r="C42" s="209">
        <v>1</v>
      </c>
      <c r="D42" s="209"/>
      <c r="E42" s="209"/>
      <c r="F42" s="216">
        <v>0</v>
      </c>
    </row>
    <row r="43" spans="1:6" ht="39" customHeight="1" x14ac:dyDescent="0.2">
      <c r="A43" s="308" t="s">
        <v>460</v>
      </c>
      <c r="B43" s="208" t="s">
        <v>140</v>
      </c>
      <c r="C43" s="209"/>
      <c r="D43" s="209">
        <v>1</v>
      </c>
      <c r="E43" s="209"/>
      <c r="F43" s="216">
        <v>0</v>
      </c>
    </row>
    <row r="44" spans="1:6" ht="39" customHeight="1" x14ac:dyDescent="0.2">
      <c r="A44" s="308" t="s">
        <v>467</v>
      </c>
      <c r="B44" s="208" t="s">
        <v>140</v>
      </c>
      <c r="C44" s="209">
        <v>5</v>
      </c>
      <c r="D44" s="209"/>
      <c r="E44" s="209"/>
      <c r="F44" s="216">
        <v>0</v>
      </c>
    </row>
    <row r="45" spans="1:6" ht="39" customHeight="1" x14ac:dyDescent="0.2">
      <c r="A45" s="207" t="s">
        <v>83</v>
      </c>
      <c r="B45" s="208" t="s">
        <v>141</v>
      </c>
      <c r="C45" s="209"/>
      <c r="D45" s="209"/>
      <c r="E45" s="209">
        <v>1</v>
      </c>
      <c r="F45" s="216">
        <v>0</v>
      </c>
    </row>
    <row r="46" spans="1:6" ht="39" customHeight="1" x14ac:dyDescent="0.2">
      <c r="A46" s="210"/>
      <c r="B46" s="211" t="s">
        <v>523</v>
      </c>
      <c r="C46" s="212"/>
      <c r="D46" s="212"/>
      <c r="E46" s="212"/>
      <c r="F46" s="309"/>
    </row>
    <row r="47" spans="1:6" ht="39" customHeight="1" x14ac:dyDescent="0.2">
      <c r="A47" s="329" t="s">
        <v>519</v>
      </c>
      <c r="B47" s="330" t="s">
        <v>524</v>
      </c>
      <c r="C47" s="331">
        <v>5</v>
      </c>
      <c r="D47" s="331"/>
      <c r="E47" s="331"/>
      <c r="F47" s="332">
        <v>0</v>
      </c>
    </row>
    <row r="48" spans="1:6" ht="39" customHeight="1" x14ac:dyDescent="0.2">
      <c r="A48" s="329" t="s">
        <v>518</v>
      </c>
      <c r="B48" s="330" t="s">
        <v>89</v>
      </c>
      <c r="C48" s="331">
        <v>5</v>
      </c>
      <c r="D48" s="331"/>
      <c r="E48" s="331"/>
      <c r="F48" s="332">
        <v>0</v>
      </c>
    </row>
    <row r="49" spans="1:6" ht="39" customHeight="1" x14ac:dyDescent="0.2">
      <c r="A49" s="329" t="s">
        <v>521</v>
      </c>
      <c r="B49" s="330" t="s">
        <v>525</v>
      </c>
      <c r="C49" s="331">
        <v>5</v>
      </c>
      <c r="D49" s="331"/>
      <c r="E49" s="331"/>
      <c r="F49" s="332">
        <v>0</v>
      </c>
    </row>
    <row r="50" spans="1:6" ht="39" customHeight="1" x14ac:dyDescent="0.2">
      <c r="A50" s="329" t="s">
        <v>520</v>
      </c>
      <c r="B50" s="330" t="s">
        <v>526</v>
      </c>
      <c r="C50" s="331">
        <v>5</v>
      </c>
      <c r="D50" s="331"/>
      <c r="E50" s="331"/>
      <c r="F50" s="332">
        <v>0</v>
      </c>
    </row>
    <row r="51" spans="1:6" ht="39" customHeight="1" x14ac:dyDescent="0.2">
      <c r="A51" s="329" t="s">
        <v>527</v>
      </c>
      <c r="B51" s="330" t="s">
        <v>528</v>
      </c>
      <c r="C51" s="331">
        <v>1</v>
      </c>
      <c r="D51" s="331"/>
      <c r="E51" s="331"/>
      <c r="F51" s="332">
        <v>0</v>
      </c>
    </row>
    <row r="52" spans="1:6" ht="39" customHeight="1" x14ac:dyDescent="0.2">
      <c r="A52" s="308" t="s">
        <v>522</v>
      </c>
      <c r="B52" s="285" t="s">
        <v>529</v>
      </c>
      <c r="C52" s="209"/>
      <c r="D52" s="209"/>
      <c r="E52" s="209">
        <v>1</v>
      </c>
      <c r="F52" s="216">
        <v>0</v>
      </c>
    </row>
    <row r="53" spans="1:6" ht="39" customHeight="1" x14ac:dyDescent="0.2">
      <c r="A53" s="308" t="s">
        <v>398</v>
      </c>
      <c r="B53" s="285" t="s">
        <v>433</v>
      </c>
      <c r="C53" s="209"/>
      <c r="D53" s="209"/>
      <c r="E53" s="209">
        <v>1</v>
      </c>
      <c r="F53" s="345"/>
    </row>
    <row r="54" spans="1:6" ht="39" customHeight="1" thickBot="1" x14ac:dyDescent="0.25">
      <c r="A54" s="213" t="s">
        <v>16</v>
      </c>
      <c r="B54" s="214" t="s">
        <v>19</v>
      </c>
      <c r="C54" s="215">
        <v>0</v>
      </c>
      <c r="D54" s="215">
        <v>0</v>
      </c>
      <c r="E54" s="215">
        <v>0</v>
      </c>
      <c r="F54" s="344"/>
    </row>
  </sheetData>
  <sheetProtection algorithmName="SHA-512" hashValue="fRXYzhBZw99s2Gfo1hIUluLntmlmD/68gJw2xX2PLcJCA9SOL1rXgEbW44Pa/8ZoSItqqniGLRAPI9GU8HGopg==" saltValue="oR8N4maXpGwtZWhMJoqL+A==" spinCount="100000" sheet="1" selectLockedCells="1" autoFilter="0"/>
  <autoFilter ref="A7:F54" xr:uid="{00000000-0009-0000-0000-000005000000}"/>
  <mergeCells count="2">
    <mergeCell ref="C6:E6"/>
    <mergeCell ref="C3:F4"/>
  </mergeCells>
  <phoneticPr fontId="5" type="noConversion"/>
  <hyperlinks>
    <hyperlink ref="F6" location="'Objekt (1)'!A1" display="'Objekt (1)'!A1" xr:uid="{00000000-0004-0000-0500-000000000000}"/>
  </hyperlinks>
  <printOptions horizontalCentered="1"/>
  <pageMargins left="0.55118110236220474" right="0.35433070866141736" top="0.31496062992125984" bottom="0.70866141732283472" header="0.19685039370078741" footer="0.51181102362204722"/>
  <pageSetup paperSize="9" scale="56" fitToHeight="0" orientation="landscape" r:id="rId1"/>
  <headerFooter alignWithMargins="0">
    <oddFooter>&amp;L&amp;8Ausschreibung Unterhaltsreinigung
&amp;A&amp;R&amp;8© Lean Consulting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59999389629810485"/>
    <pageSetUpPr fitToPage="1"/>
  </sheetPr>
  <dimension ref="A1:R95"/>
  <sheetViews>
    <sheetView zoomScale="90" zoomScaleNormal="90" workbookViewId="0"/>
  </sheetViews>
  <sheetFormatPr baseColWidth="10" defaultColWidth="11.42578125" defaultRowHeight="12.75" x14ac:dyDescent="0.2"/>
  <cols>
    <col min="1" max="1" width="5.140625" style="1" customWidth="1"/>
    <col min="2" max="2" width="6.5703125" style="1" customWidth="1"/>
    <col min="3" max="3" width="10.85546875" style="1" customWidth="1"/>
    <col min="4" max="4" width="7.140625" style="1" customWidth="1"/>
    <col min="5" max="5" width="38.7109375" style="1" customWidth="1"/>
    <col min="6" max="6" width="17.42578125" style="1" customWidth="1"/>
    <col min="7" max="7" width="16.5703125" style="27" bestFit="1" customWidth="1"/>
    <col min="8" max="8" width="7.140625" style="28" customWidth="1"/>
    <col min="9" max="11" width="6.85546875" style="29" customWidth="1"/>
    <col min="12" max="12" width="17.140625" style="27" customWidth="1"/>
    <col min="13" max="13" width="12.85546875" style="30" customWidth="1"/>
    <col min="14" max="14" width="11.42578125" style="1"/>
    <col min="15" max="15" width="18.5703125" style="31" customWidth="1"/>
    <col min="16" max="16" width="11.42578125" style="32"/>
    <col min="17" max="17" width="14.28515625" style="32" customWidth="1"/>
    <col min="18" max="18" width="15.42578125" style="1" customWidth="1"/>
    <col min="19" max="16384" width="11.42578125" style="1"/>
  </cols>
  <sheetData>
    <row r="1" spans="5:17" ht="13.5" thickBot="1" x14ac:dyDescent="0.25"/>
    <row r="2" spans="5:17" s="39" customFormat="1" ht="25.5" customHeight="1" thickBot="1" x14ac:dyDescent="0.25">
      <c r="E2" s="33"/>
      <c r="F2" s="34"/>
      <c r="G2" s="35" t="str">
        <f>IF(Bieter&lt;&gt;"",Bieter,"Bietername fehlt !")</f>
        <v>Bietername fehlt !</v>
      </c>
      <c r="H2" s="164"/>
      <c r="I2" s="36"/>
      <c r="J2" s="36"/>
      <c r="K2" s="36"/>
      <c r="L2" s="33"/>
      <c r="M2" s="34"/>
      <c r="N2" s="37"/>
      <c r="O2" s="35" t="s">
        <v>252</v>
      </c>
      <c r="P2" s="152">
        <v>6</v>
      </c>
      <c r="Q2" s="38"/>
    </row>
    <row r="3" spans="5:17" ht="13.5" thickBot="1" x14ac:dyDescent="0.25"/>
    <row r="4" spans="5:17" s="42" customFormat="1" ht="25.5" customHeight="1" thickBot="1" x14ac:dyDescent="0.25">
      <c r="E4" s="116" t="s">
        <v>55</v>
      </c>
      <c r="F4" s="118"/>
      <c r="G4" s="119"/>
      <c r="H4" s="41"/>
      <c r="K4" s="43"/>
      <c r="L4" s="117" t="s">
        <v>56</v>
      </c>
      <c r="M4" s="138"/>
      <c r="N4" s="138"/>
      <c r="O4" s="139"/>
      <c r="P4" s="44"/>
      <c r="Q4" s="44"/>
    </row>
    <row r="5" spans="5:17" s="42" customFormat="1" ht="18.75" customHeight="1" x14ac:dyDescent="0.2">
      <c r="E5" s="120" t="s">
        <v>45</v>
      </c>
      <c r="F5" s="121"/>
      <c r="G5" s="122">
        <f>RT_Schule</f>
        <v>194</v>
      </c>
      <c r="H5" s="41"/>
      <c r="I5" s="45"/>
      <c r="L5" s="120" t="s">
        <v>60</v>
      </c>
      <c r="M5" s="121"/>
      <c r="N5" s="140"/>
      <c r="O5" s="141" t="s">
        <v>69</v>
      </c>
      <c r="P5" s="44"/>
      <c r="Q5" s="44"/>
    </row>
    <row r="6" spans="5:17" s="42" customFormat="1" ht="18.75" customHeight="1" x14ac:dyDescent="0.2">
      <c r="E6" s="120" t="s">
        <v>46</v>
      </c>
      <c r="F6" s="121"/>
      <c r="G6" s="122">
        <v>5</v>
      </c>
      <c r="H6" s="41"/>
      <c r="I6" s="45"/>
      <c r="L6" s="120"/>
      <c r="M6" s="121"/>
      <c r="N6" s="140"/>
      <c r="O6" s="142"/>
      <c r="P6" s="44"/>
      <c r="Q6" s="44"/>
    </row>
    <row r="7" spans="5:17" s="42" customFormat="1" ht="18.75" customHeight="1" x14ac:dyDescent="0.2">
      <c r="E7" s="120" t="s">
        <v>44</v>
      </c>
      <c r="F7" s="121"/>
      <c r="G7" s="123">
        <f>SUM($G$23:$G$76)</f>
        <v>1773.3599999999994</v>
      </c>
      <c r="H7" s="41"/>
      <c r="I7" s="45"/>
      <c r="J7" s="45"/>
      <c r="L7" s="120" t="s">
        <v>44</v>
      </c>
      <c r="M7" s="121"/>
      <c r="N7" s="121"/>
      <c r="O7" s="143">
        <f>IF($O$5="JA",$G$85,0)</f>
        <v>1773.3599999999994</v>
      </c>
      <c r="P7" s="44"/>
      <c r="Q7" s="44"/>
    </row>
    <row r="8" spans="5:17" s="42" customFormat="1" ht="18.75" customHeight="1" x14ac:dyDescent="0.2">
      <c r="E8" s="120" t="s">
        <v>48</v>
      </c>
      <c r="F8" s="121"/>
      <c r="G8" s="123">
        <f>SUM($L$23:$L$76)</f>
        <v>252340.54800000013</v>
      </c>
      <c r="H8" s="41"/>
      <c r="I8" s="45"/>
      <c r="J8" s="45"/>
      <c r="L8" s="120" t="s">
        <v>48</v>
      </c>
      <c r="M8" s="121"/>
      <c r="N8" s="121"/>
      <c r="O8" s="143">
        <f>IF($O$5="JA",$L$85,0)</f>
        <v>1773.3599999999994</v>
      </c>
      <c r="P8" s="44"/>
      <c r="Q8" s="44"/>
    </row>
    <row r="9" spans="5:17" s="42" customFormat="1" ht="18.75" customHeight="1" x14ac:dyDescent="0.2">
      <c r="E9" s="120" t="s">
        <v>49</v>
      </c>
      <c r="F9" s="121"/>
      <c r="G9" s="124">
        <f>SUM($O$23:$O$76)</f>
        <v>0</v>
      </c>
      <c r="H9" s="41"/>
      <c r="I9" s="45"/>
      <c r="J9" s="45"/>
      <c r="L9" s="120" t="s">
        <v>49</v>
      </c>
      <c r="M9" s="121"/>
      <c r="N9" s="121"/>
      <c r="O9" s="124">
        <f>IF($O$5="JA",$O$85,0)</f>
        <v>0</v>
      </c>
      <c r="P9" s="44"/>
      <c r="Q9" s="44"/>
    </row>
    <row r="10" spans="5:17" s="42" customFormat="1" ht="18.75" customHeight="1" x14ac:dyDescent="0.2">
      <c r="E10" s="120" t="s">
        <v>51</v>
      </c>
      <c r="F10" s="121"/>
      <c r="G10" s="124">
        <f>G9/G5</f>
        <v>0</v>
      </c>
      <c r="H10" s="41"/>
      <c r="I10" s="45"/>
      <c r="J10" s="45"/>
      <c r="L10" s="120"/>
      <c r="M10" s="121"/>
      <c r="N10" s="121"/>
      <c r="O10" s="144"/>
      <c r="P10" s="44"/>
      <c r="Q10" s="44"/>
    </row>
    <row r="11" spans="5:17" s="42" customFormat="1" ht="18.75" customHeight="1" x14ac:dyDescent="0.2">
      <c r="E11" s="120" t="s">
        <v>50</v>
      </c>
      <c r="F11" s="121"/>
      <c r="G11" s="125">
        <f>IF(G9&gt;0,G8/G9,0)</f>
        <v>0</v>
      </c>
      <c r="H11" s="41"/>
      <c r="I11" s="45"/>
      <c r="J11" s="45"/>
      <c r="L11" s="120" t="s">
        <v>50</v>
      </c>
      <c r="M11" s="121"/>
      <c r="N11" s="121"/>
      <c r="O11" s="125" t="e">
        <f>IF($O$5="JA",$O$8/$O$9,0)</f>
        <v>#DIV/0!</v>
      </c>
      <c r="P11" s="44"/>
      <c r="Q11" s="44"/>
    </row>
    <row r="12" spans="5:17" s="42" customFormat="1" ht="18.75" customHeight="1" thickBot="1" x14ac:dyDescent="0.25">
      <c r="E12" s="126" t="s">
        <v>57</v>
      </c>
      <c r="F12" s="127"/>
      <c r="G12" s="128">
        <f>IF(G9&gt;0,G14/G9,0)</f>
        <v>0</v>
      </c>
      <c r="H12" s="41"/>
      <c r="I12" s="45"/>
      <c r="J12" s="45"/>
      <c r="L12" s="126" t="s">
        <v>57</v>
      </c>
      <c r="M12" s="127"/>
      <c r="N12" s="127"/>
      <c r="O12" s="145" t="e">
        <f ca="1">IF($O$5="JA",$O$14/$O$9,0)</f>
        <v>#DIV/0!</v>
      </c>
      <c r="P12" s="44"/>
      <c r="Q12" s="44"/>
    </row>
    <row r="13" spans="5:17" s="42" customFormat="1" ht="6.75" customHeight="1" thickBot="1" x14ac:dyDescent="0.25">
      <c r="E13" s="121"/>
      <c r="F13" s="121"/>
      <c r="G13" s="129"/>
      <c r="H13" s="41"/>
      <c r="I13" s="45"/>
      <c r="J13" s="45"/>
      <c r="L13" s="121"/>
      <c r="M13" s="121"/>
      <c r="N13" s="121"/>
      <c r="O13" s="146"/>
      <c r="P13" s="44"/>
      <c r="Q13" s="44"/>
    </row>
    <row r="14" spans="5:17" s="42" customFormat="1" ht="18.75" customHeight="1" x14ac:dyDescent="0.2">
      <c r="E14" s="130" t="s">
        <v>65</v>
      </c>
      <c r="F14" s="131">
        <f ca="1">G14/G5</f>
        <v>0</v>
      </c>
      <c r="G14" s="132">
        <f ca="1">SUM(Q23:Q76)</f>
        <v>0</v>
      </c>
      <c r="H14" s="41"/>
      <c r="I14" s="45"/>
      <c r="J14" s="45"/>
      <c r="K14" s="46"/>
      <c r="L14" s="130" t="s">
        <v>52</v>
      </c>
      <c r="M14" s="147"/>
      <c r="N14" s="147"/>
      <c r="O14" s="148">
        <f ca="1">IF($O$5="JA",$Q$85,0)</f>
        <v>0</v>
      </c>
      <c r="P14" s="44"/>
      <c r="Q14" s="44"/>
    </row>
    <row r="15" spans="5:17" s="42" customFormat="1" ht="18.75" customHeight="1" x14ac:dyDescent="0.2">
      <c r="E15" s="133" t="s">
        <v>53</v>
      </c>
      <c r="F15" s="129"/>
      <c r="G15" s="134">
        <f ca="1">G14*0.19</f>
        <v>0</v>
      </c>
      <c r="H15" s="41"/>
      <c r="I15" s="45"/>
      <c r="J15" s="45"/>
      <c r="K15" s="46"/>
      <c r="L15" s="133" t="s">
        <v>53</v>
      </c>
      <c r="M15" s="121"/>
      <c r="N15" s="121"/>
      <c r="O15" s="149">
        <f ca="1">IF($O$5="JA",O14*0.19,0)</f>
        <v>0</v>
      </c>
      <c r="P15" s="44"/>
      <c r="Q15" s="44"/>
    </row>
    <row r="16" spans="5:17" s="42" customFormat="1" ht="18.75" customHeight="1" thickBot="1" x14ac:dyDescent="0.25">
      <c r="E16" s="135" t="s">
        <v>54</v>
      </c>
      <c r="F16" s="136"/>
      <c r="G16" s="137">
        <f ca="1">G14+G15</f>
        <v>0</v>
      </c>
      <c r="H16" s="41"/>
      <c r="I16" s="45"/>
      <c r="J16" s="45"/>
      <c r="K16" s="46"/>
      <c r="L16" s="135" t="s">
        <v>54</v>
      </c>
      <c r="M16" s="127"/>
      <c r="N16" s="127"/>
      <c r="O16" s="150">
        <f ca="1">IF(O14&lt;&gt;0,SUM(O14:O15),0)</f>
        <v>0</v>
      </c>
      <c r="P16" s="44"/>
      <c r="Q16" s="44"/>
    </row>
    <row r="17" spans="1:18" ht="6" customHeight="1" thickBot="1" x14ac:dyDescent="0.25">
      <c r="M17" s="1"/>
    </row>
    <row r="18" spans="1:18" ht="18" customHeight="1" thickBot="1" x14ac:dyDescent="0.25">
      <c r="A18" s="46"/>
      <c r="B18" s="46"/>
      <c r="C18" s="46"/>
      <c r="D18" s="46"/>
      <c r="E18" s="390" t="s">
        <v>63</v>
      </c>
      <c r="F18" s="391"/>
      <c r="G18" s="392"/>
      <c r="H18" s="47"/>
      <c r="I18" s="48"/>
      <c r="J18" s="48"/>
      <c r="K18" s="48"/>
      <c r="L18" s="393" t="s">
        <v>62</v>
      </c>
      <c r="M18" s="394"/>
      <c r="N18" s="394"/>
      <c r="O18" s="395"/>
      <c r="P18" s="49"/>
      <c r="Q18" s="49"/>
    </row>
    <row r="19" spans="1:18" ht="6" customHeight="1" thickBot="1" x14ac:dyDescent="0.25"/>
    <row r="20" spans="1:18" s="58" customFormat="1" x14ac:dyDescent="0.2">
      <c r="A20" s="50" t="s">
        <v>0</v>
      </c>
      <c r="B20" s="51" t="s">
        <v>40</v>
      </c>
      <c r="C20" s="51" t="s">
        <v>61</v>
      </c>
      <c r="D20" s="51" t="s">
        <v>41</v>
      </c>
      <c r="E20" s="52" t="s">
        <v>42</v>
      </c>
      <c r="F20" s="52" t="s">
        <v>24</v>
      </c>
      <c r="G20" s="53" t="s">
        <v>25</v>
      </c>
      <c r="H20" s="52" t="s">
        <v>1</v>
      </c>
      <c r="I20" s="396" t="s">
        <v>26</v>
      </c>
      <c r="J20" s="396"/>
      <c r="K20" s="396"/>
      <c r="L20" s="53" t="s">
        <v>33</v>
      </c>
      <c r="M20" s="54" t="s">
        <v>2</v>
      </c>
      <c r="N20" s="52" t="s">
        <v>15</v>
      </c>
      <c r="O20" s="55" t="s">
        <v>30</v>
      </c>
      <c r="P20" s="56" t="s">
        <v>13</v>
      </c>
      <c r="Q20" s="57" t="s">
        <v>31</v>
      </c>
      <c r="R20" s="299" t="s">
        <v>275</v>
      </c>
    </row>
    <row r="21" spans="1:18" s="58" customFormat="1" ht="25.5" customHeight="1" thickBot="1" x14ac:dyDescent="0.25">
      <c r="A21" s="18"/>
      <c r="B21" s="19"/>
      <c r="C21" s="19"/>
      <c r="D21" s="19"/>
      <c r="E21" s="20" t="s">
        <v>43</v>
      </c>
      <c r="F21" s="20"/>
      <c r="G21" s="21" t="s">
        <v>32</v>
      </c>
      <c r="H21" s="20"/>
      <c r="I21" s="22" t="s">
        <v>27</v>
      </c>
      <c r="J21" s="22" t="s">
        <v>28</v>
      </c>
      <c r="K21" s="22" t="s">
        <v>29</v>
      </c>
      <c r="L21" s="21" t="s">
        <v>34</v>
      </c>
      <c r="M21" s="23" t="s">
        <v>35</v>
      </c>
      <c r="N21" s="20" t="s">
        <v>36</v>
      </c>
      <c r="O21" s="24" t="s">
        <v>37</v>
      </c>
      <c r="P21" s="25" t="s">
        <v>38</v>
      </c>
      <c r="Q21" s="26" t="s">
        <v>39</v>
      </c>
      <c r="R21" s="300" t="s">
        <v>274</v>
      </c>
    </row>
    <row r="22" spans="1:18" ht="3.75" customHeight="1" x14ac:dyDescent="0.2">
      <c r="A22" s="68" t="s">
        <v>21</v>
      </c>
      <c r="B22" s="69" t="s">
        <v>21</v>
      </c>
      <c r="C22" s="69"/>
      <c r="D22" s="69" t="s">
        <v>21</v>
      </c>
      <c r="E22" s="69" t="s">
        <v>21</v>
      </c>
      <c r="F22" s="69" t="s">
        <v>21</v>
      </c>
      <c r="G22" s="70" t="s">
        <v>21</v>
      </c>
      <c r="H22" s="71" t="s">
        <v>21</v>
      </c>
      <c r="I22" s="72" t="s">
        <v>21</v>
      </c>
      <c r="J22" s="72" t="s">
        <v>21</v>
      </c>
      <c r="K22" s="72" t="s">
        <v>21</v>
      </c>
      <c r="L22" s="70" t="s">
        <v>21</v>
      </c>
      <c r="M22" s="73" t="s">
        <v>21</v>
      </c>
      <c r="N22" s="74" t="s">
        <v>21</v>
      </c>
      <c r="O22" s="75" t="s">
        <v>21</v>
      </c>
      <c r="P22" s="76" t="s">
        <v>21</v>
      </c>
      <c r="Q22" s="77" t="s">
        <v>21</v>
      </c>
      <c r="R22" s="301" t="s">
        <v>21</v>
      </c>
    </row>
    <row r="23" spans="1:18" ht="24" customHeight="1" x14ac:dyDescent="0.2">
      <c r="A23" s="81">
        <v>1</v>
      </c>
      <c r="B23" s="82" t="s">
        <v>276</v>
      </c>
      <c r="C23" s="82"/>
      <c r="D23" s="151"/>
      <c r="E23" s="82" t="s">
        <v>295</v>
      </c>
      <c r="F23" s="82" t="s">
        <v>439</v>
      </c>
      <c r="G23" s="83">
        <v>8.02</v>
      </c>
      <c r="H23" s="245" t="s">
        <v>76</v>
      </c>
      <c r="I23" s="246">
        <f>VLOOKUP($H23,Leistungswerte!$A$8:$E$54,3,FALSE)</f>
        <v>5</v>
      </c>
      <c r="J23" s="246">
        <f>VLOOKUP($H23,Leistungswerte!$A$8:$E$54,4,FALSE)</f>
        <v>0</v>
      </c>
      <c r="K23" s="246">
        <f>VLOOKUP($H23,Leistungswerte!$A$8:$E$54,5,FALSE)</f>
        <v>0</v>
      </c>
      <c r="L23" s="83">
        <f>($G$5/$G$6*I23+J23*12+K23)*G23</f>
        <v>1555.8799999999999</v>
      </c>
      <c r="M23" s="247">
        <f>VLOOKUP($H23,Leistungswerte!$A$8:$F$54,$P$2,FALSE)</f>
        <v>0</v>
      </c>
      <c r="N23" s="84">
        <f>IF(M23&lt;&gt;0,G23/M23/24,0)</f>
        <v>0</v>
      </c>
      <c r="O23" s="80">
        <f>IF(M23&lt;&gt;0,L23/M23,0)</f>
        <v>0</v>
      </c>
      <c r="P23" s="248">
        <f t="shared" ref="P23:P75" ca="1" si="0">SVS_UR</f>
        <v>0</v>
      </c>
      <c r="Q23" s="85">
        <f ca="1">O23*P23</f>
        <v>0</v>
      </c>
      <c r="R23" s="305"/>
    </row>
    <row r="24" spans="1:18" ht="24" customHeight="1" x14ac:dyDescent="0.2">
      <c r="A24" s="81">
        <f t="shared" ref="A24:A75" si="1">A23+1</f>
        <v>2</v>
      </c>
      <c r="B24" s="82" t="s">
        <v>276</v>
      </c>
      <c r="C24" s="82"/>
      <c r="D24" s="151"/>
      <c r="E24" s="82" t="s">
        <v>267</v>
      </c>
      <c r="F24" s="82" t="s">
        <v>441</v>
      </c>
      <c r="G24" s="83">
        <v>28.74</v>
      </c>
      <c r="H24" s="245" t="s">
        <v>84</v>
      </c>
      <c r="I24" s="246">
        <f>VLOOKUP($H24,Leistungswerte!$A$8:$E$54,3,FALSE)</f>
        <v>5</v>
      </c>
      <c r="J24" s="246">
        <f>VLOOKUP($H24,Leistungswerte!$A$8:$E$54,4,FALSE)</f>
        <v>0</v>
      </c>
      <c r="K24" s="246">
        <f>VLOOKUP($H24,Leistungswerte!$A$8:$E$54,5,FALSE)</f>
        <v>0</v>
      </c>
      <c r="L24" s="83">
        <f t="shared" ref="L24:L30" si="2">($G$5/$G$6*I24+J24*12+K24)*G24</f>
        <v>5575.5599999999995</v>
      </c>
      <c r="M24" s="247">
        <f>VLOOKUP($H24,Leistungswerte!$A$8:$F$54,$P$2,FALSE)</f>
        <v>0</v>
      </c>
      <c r="N24" s="84">
        <f t="shared" ref="N24:N30" si="3">IF(M24&lt;&gt;0,G24/M24/24,0)</f>
        <v>0</v>
      </c>
      <c r="O24" s="80">
        <f t="shared" ref="O24:O30" si="4">IF(M24&lt;&gt;0,L24/M24,0)</f>
        <v>0</v>
      </c>
      <c r="P24" s="248">
        <f t="shared" ca="1" si="0"/>
        <v>0</v>
      </c>
      <c r="Q24" s="85">
        <f t="shared" ref="Q24:Q30" ca="1" si="5">O24*P24</f>
        <v>0</v>
      </c>
      <c r="R24" s="305"/>
    </row>
    <row r="25" spans="1:18" ht="24" customHeight="1" x14ac:dyDescent="0.2">
      <c r="A25" s="81">
        <f t="shared" si="1"/>
        <v>3</v>
      </c>
      <c r="B25" s="82" t="s">
        <v>276</v>
      </c>
      <c r="C25" s="82"/>
      <c r="D25" s="151">
        <v>6</v>
      </c>
      <c r="E25" s="303" t="s">
        <v>309</v>
      </c>
      <c r="F25" s="82" t="s">
        <v>434</v>
      </c>
      <c r="G25" s="83">
        <v>30.47</v>
      </c>
      <c r="H25" s="304" t="s">
        <v>91</v>
      </c>
      <c r="I25" s="246">
        <f>VLOOKUP($H25,Leistungswerte!$A$8:$E$54,3,FALSE)</f>
        <v>5</v>
      </c>
      <c r="J25" s="246">
        <f>VLOOKUP($H25,Leistungswerte!$A$8:$E$54,4,FALSE)</f>
        <v>0</v>
      </c>
      <c r="K25" s="246">
        <f>VLOOKUP($H25,Leistungswerte!$A$8:$E$54,5,FALSE)</f>
        <v>0</v>
      </c>
      <c r="L25" s="83">
        <f t="shared" si="2"/>
        <v>5911.1799999999994</v>
      </c>
      <c r="M25" s="247">
        <f>VLOOKUP($H25,Leistungswerte!$A$8:$F$54,$P$2,FALSE)</f>
        <v>0</v>
      </c>
      <c r="N25" s="84">
        <f t="shared" si="3"/>
        <v>0</v>
      </c>
      <c r="O25" s="80">
        <f t="shared" si="4"/>
        <v>0</v>
      </c>
      <c r="P25" s="248">
        <f t="shared" ca="1" si="0"/>
        <v>0</v>
      </c>
      <c r="Q25" s="85">
        <f t="shared" ca="1" si="5"/>
        <v>0</v>
      </c>
      <c r="R25" s="305"/>
    </row>
    <row r="26" spans="1:18" ht="24" customHeight="1" x14ac:dyDescent="0.2">
      <c r="A26" s="81">
        <f t="shared" si="1"/>
        <v>4</v>
      </c>
      <c r="B26" s="82" t="s">
        <v>276</v>
      </c>
      <c r="C26" s="82"/>
      <c r="D26" s="151"/>
      <c r="E26" s="82" t="s">
        <v>268</v>
      </c>
      <c r="F26" s="82" t="s">
        <v>441</v>
      </c>
      <c r="G26" s="83">
        <v>57.6</v>
      </c>
      <c r="H26" s="304" t="s">
        <v>75</v>
      </c>
      <c r="I26" s="246">
        <f>VLOOKUP($H26,Leistungswerte!$A$8:$E$54,3,FALSE)</f>
        <v>5</v>
      </c>
      <c r="J26" s="246">
        <f>VLOOKUP($H26,Leistungswerte!$A$8:$E$54,4,FALSE)</f>
        <v>0</v>
      </c>
      <c r="K26" s="246">
        <f>VLOOKUP($H26,Leistungswerte!$A$8:$E$54,5,FALSE)</f>
        <v>0</v>
      </c>
      <c r="L26" s="83">
        <f>($G$5/$G$6*I26+J26*12+K26)*G26</f>
        <v>11174.4</v>
      </c>
      <c r="M26" s="247">
        <f>VLOOKUP($H26,Leistungswerte!$A$8:$F$54,$P$2,FALSE)</f>
        <v>0</v>
      </c>
      <c r="N26" s="84">
        <f>IF(M26&lt;&gt;0,G26/M26/24,0)</f>
        <v>0</v>
      </c>
      <c r="O26" s="80">
        <f>IF(M26&lt;&gt;0,L26/M26,0)</f>
        <v>0</v>
      </c>
      <c r="P26" s="248">
        <f t="shared" ca="1" si="0"/>
        <v>0</v>
      </c>
      <c r="Q26" s="85">
        <f ca="1">O26*P26</f>
        <v>0</v>
      </c>
      <c r="R26" s="305"/>
    </row>
    <row r="27" spans="1:18" ht="24" customHeight="1" x14ac:dyDescent="0.2">
      <c r="A27" s="81">
        <f t="shared" si="1"/>
        <v>5</v>
      </c>
      <c r="B27" s="82" t="s">
        <v>276</v>
      </c>
      <c r="C27" s="82"/>
      <c r="D27" s="151">
        <v>5</v>
      </c>
      <c r="E27" s="82" t="s">
        <v>297</v>
      </c>
      <c r="F27" s="82" t="s">
        <v>434</v>
      </c>
      <c r="G27" s="83">
        <v>124.65</v>
      </c>
      <c r="H27" s="245" t="s">
        <v>146</v>
      </c>
      <c r="I27" s="246">
        <f>VLOOKUP($H27,Leistungswerte!$A$8:$E$54,3,FALSE)</f>
        <v>5</v>
      </c>
      <c r="J27" s="246">
        <f>VLOOKUP($H27,Leistungswerte!$A$8:$E$54,4,FALSE)</f>
        <v>0</v>
      </c>
      <c r="K27" s="246">
        <f>VLOOKUP($H27,Leistungswerte!$A$8:$E$54,5,FALSE)</f>
        <v>0</v>
      </c>
      <c r="L27" s="83">
        <f>($G$5/$G$6*I27+J27*12+K27)*G27</f>
        <v>24182.100000000002</v>
      </c>
      <c r="M27" s="247">
        <f>VLOOKUP($H27,Leistungswerte!$A$8:$F$54,$P$2,FALSE)</f>
        <v>0</v>
      </c>
      <c r="N27" s="84">
        <f>IF(M27&lt;&gt;0,G27/M27/24,0)</f>
        <v>0</v>
      </c>
      <c r="O27" s="80">
        <f>IF(M27&lt;&gt;0,L27/M27,0)</f>
        <v>0</v>
      </c>
      <c r="P27" s="248">
        <f t="shared" ca="1" si="0"/>
        <v>0</v>
      </c>
      <c r="Q27" s="85">
        <f ca="1">O27*P27</f>
        <v>0</v>
      </c>
      <c r="R27" s="305"/>
    </row>
    <row r="28" spans="1:18" ht="24" customHeight="1" x14ac:dyDescent="0.2">
      <c r="A28" s="81">
        <f t="shared" si="1"/>
        <v>6</v>
      </c>
      <c r="B28" s="82" t="s">
        <v>276</v>
      </c>
      <c r="C28" s="82"/>
      <c r="D28" s="151">
        <v>3</v>
      </c>
      <c r="E28" s="82" t="s">
        <v>298</v>
      </c>
      <c r="F28" s="82" t="s">
        <v>434</v>
      </c>
      <c r="G28" s="83">
        <v>13</v>
      </c>
      <c r="H28" s="304" t="s">
        <v>73</v>
      </c>
      <c r="I28" s="246">
        <f>VLOOKUP($H28,Leistungswerte!$A$8:$E$54,3,FALSE)</f>
        <v>1</v>
      </c>
      <c r="J28" s="246">
        <f>VLOOKUP($H28,Leistungswerte!$A$8:$E$54,4,FALSE)</f>
        <v>0</v>
      </c>
      <c r="K28" s="246">
        <f>VLOOKUP($H28,Leistungswerte!$A$8:$E$54,5,FALSE)</f>
        <v>0</v>
      </c>
      <c r="L28" s="83">
        <f>($G$5/$G$6*I28+J28*12+K28)*G28</f>
        <v>504.4</v>
      </c>
      <c r="M28" s="247">
        <f>VLOOKUP($H28,Leistungswerte!$A$8:$F$54,$P$2,FALSE)</f>
        <v>0</v>
      </c>
      <c r="N28" s="84">
        <f>IF(M28&lt;&gt;0,G28/M28/24,0)</f>
        <v>0</v>
      </c>
      <c r="O28" s="80">
        <f>IF(M28&lt;&gt;0,L28/M28,0)</f>
        <v>0</v>
      </c>
      <c r="P28" s="248">
        <f t="shared" ca="1" si="0"/>
        <v>0</v>
      </c>
      <c r="Q28" s="85">
        <f ca="1">O28*P28</f>
        <v>0</v>
      </c>
      <c r="R28" s="305"/>
    </row>
    <row r="29" spans="1:18" ht="24" customHeight="1" x14ac:dyDescent="0.2">
      <c r="A29" s="81">
        <f t="shared" si="1"/>
        <v>7</v>
      </c>
      <c r="B29" s="82" t="s">
        <v>276</v>
      </c>
      <c r="C29" s="82"/>
      <c r="D29" s="151">
        <v>2</v>
      </c>
      <c r="E29" s="82" t="s">
        <v>299</v>
      </c>
      <c r="F29" s="82" t="s">
        <v>434</v>
      </c>
      <c r="G29" s="83">
        <v>63.9</v>
      </c>
      <c r="H29" s="304" t="s">
        <v>91</v>
      </c>
      <c r="I29" s="246">
        <f>VLOOKUP($H29,Leistungswerte!$A$8:$E$54,3,FALSE)</f>
        <v>5</v>
      </c>
      <c r="J29" s="246">
        <f>VLOOKUP($H29,Leistungswerte!$A$8:$E$54,4,FALSE)</f>
        <v>0</v>
      </c>
      <c r="K29" s="246">
        <f>VLOOKUP($H29,Leistungswerte!$A$8:$E$54,5,FALSE)</f>
        <v>0</v>
      </c>
      <c r="L29" s="83">
        <f>($G$5/$G$6*I29+J29*12+K29)*G29</f>
        <v>12396.6</v>
      </c>
      <c r="M29" s="247">
        <f>VLOOKUP($H29,Leistungswerte!$A$8:$F$54,$P$2,FALSE)</f>
        <v>0</v>
      </c>
      <c r="N29" s="84">
        <f>IF(M29&lt;&gt;0,G29/M29/24,0)</f>
        <v>0</v>
      </c>
      <c r="O29" s="80">
        <f>IF(M29&lt;&gt;0,L29/M29,0)</f>
        <v>0</v>
      </c>
      <c r="P29" s="248">
        <f t="shared" ca="1" si="0"/>
        <v>0</v>
      </c>
      <c r="Q29" s="85">
        <f ca="1">O29*P29</f>
        <v>0</v>
      </c>
      <c r="R29" s="305"/>
    </row>
    <row r="30" spans="1:18" ht="24" customHeight="1" x14ac:dyDescent="0.2">
      <c r="A30" s="81">
        <f t="shared" si="1"/>
        <v>8</v>
      </c>
      <c r="B30" s="82" t="s">
        <v>276</v>
      </c>
      <c r="C30" s="82"/>
      <c r="D30" s="151">
        <v>15</v>
      </c>
      <c r="E30" s="82" t="s">
        <v>299</v>
      </c>
      <c r="F30" s="82" t="s">
        <v>434</v>
      </c>
      <c r="G30" s="83">
        <v>75.459999999999994</v>
      </c>
      <c r="H30" s="304" t="s">
        <v>91</v>
      </c>
      <c r="I30" s="246">
        <f>VLOOKUP($H30,Leistungswerte!$A$8:$E$54,3,FALSE)</f>
        <v>5</v>
      </c>
      <c r="J30" s="246">
        <f>VLOOKUP($H30,Leistungswerte!$A$8:$E$54,4,FALSE)</f>
        <v>0</v>
      </c>
      <c r="K30" s="246">
        <f>VLOOKUP($H30,Leistungswerte!$A$8:$E$54,5,FALSE)</f>
        <v>0</v>
      </c>
      <c r="L30" s="83">
        <f t="shared" si="2"/>
        <v>14639.239999999998</v>
      </c>
      <c r="M30" s="247">
        <f>VLOOKUP($H30,Leistungswerte!$A$8:$F$54,$P$2,FALSE)</f>
        <v>0</v>
      </c>
      <c r="N30" s="84">
        <f t="shared" si="3"/>
        <v>0</v>
      </c>
      <c r="O30" s="80">
        <f t="shared" si="4"/>
        <v>0</v>
      </c>
      <c r="P30" s="248">
        <f t="shared" ca="1" si="0"/>
        <v>0</v>
      </c>
      <c r="Q30" s="85">
        <f t="shared" ca="1" si="5"/>
        <v>0</v>
      </c>
      <c r="R30" s="305">
        <v>8.5</v>
      </c>
    </row>
    <row r="31" spans="1:18" ht="24" customHeight="1" x14ac:dyDescent="0.2">
      <c r="A31" s="81">
        <f t="shared" si="1"/>
        <v>9</v>
      </c>
      <c r="B31" s="82" t="s">
        <v>276</v>
      </c>
      <c r="C31" s="82"/>
      <c r="D31" s="151">
        <v>14</v>
      </c>
      <c r="E31" s="82" t="s">
        <v>299</v>
      </c>
      <c r="F31" s="82" t="s">
        <v>434</v>
      </c>
      <c r="G31" s="83">
        <v>47.47</v>
      </c>
      <c r="H31" s="304" t="s">
        <v>91</v>
      </c>
      <c r="I31" s="246">
        <f>VLOOKUP($H31,Leistungswerte!$A$8:$E$54,3,FALSE)</f>
        <v>5</v>
      </c>
      <c r="J31" s="246">
        <f>VLOOKUP($H31,Leistungswerte!$A$8:$E$54,4,FALSE)</f>
        <v>0</v>
      </c>
      <c r="K31" s="246">
        <f>VLOOKUP($H31,Leistungswerte!$A$8:$E$54,5,FALSE)</f>
        <v>0</v>
      </c>
      <c r="L31" s="83">
        <f>($G$5/$G$6*I31+J31*12+K31)*G31</f>
        <v>9209.18</v>
      </c>
      <c r="M31" s="247">
        <f>VLOOKUP($H31,Leistungswerte!$A$8:$F$54,$P$2,FALSE)</f>
        <v>0</v>
      </c>
      <c r="N31" s="84">
        <f>IF(M31&lt;&gt;0,G31/M31/24,0)</f>
        <v>0</v>
      </c>
      <c r="O31" s="80">
        <f>IF(M31&lt;&gt;0,L31/M31,0)</f>
        <v>0</v>
      </c>
      <c r="P31" s="248">
        <f t="shared" ca="1" si="0"/>
        <v>0</v>
      </c>
      <c r="Q31" s="85">
        <f ca="1">O31*P31</f>
        <v>0</v>
      </c>
      <c r="R31" s="305">
        <v>4.5</v>
      </c>
    </row>
    <row r="32" spans="1:18" ht="24" customHeight="1" x14ac:dyDescent="0.2">
      <c r="A32" s="81">
        <f t="shared" si="1"/>
        <v>10</v>
      </c>
      <c r="B32" s="82" t="s">
        <v>291</v>
      </c>
      <c r="C32" s="82"/>
      <c r="D32" s="151">
        <v>18</v>
      </c>
      <c r="E32" s="82" t="s">
        <v>299</v>
      </c>
      <c r="F32" s="82" t="s">
        <v>434</v>
      </c>
      <c r="G32" s="83">
        <v>75.56</v>
      </c>
      <c r="H32" s="304" t="s">
        <v>91</v>
      </c>
      <c r="I32" s="246">
        <f>VLOOKUP($H32,Leistungswerte!$A$8:$E$54,3,FALSE)</f>
        <v>5</v>
      </c>
      <c r="J32" s="246">
        <f>VLOOKUP($H32,Leistungswerte!$A$8:$E$54,4,FALSE)</f>
        <v>0</v>
      </c>
      <c r="K32" s="246">
        <f>VLOOKUP($H32,Leistungswerte!$A$8:$E$54,5,FALSE)</f>
        <v>0</v>
      </c>
      <c r="L32" s="83">
        <f>($G$5/$G$6*I32+J32*12+K32)*G32</f>
        <v>14658.640000000001</v>
      </c>
      <c r="M32" s="247">
        <f>VLOOKUP($H32,Leistungswerte!$A$8:$F$54,$P$2,FALSE)</f>
        <v>0</v>
      </c>
      <c r="N32" s="84">
        <f>IF(M32&lt;&gt;0,G32/M32/24,0)</f>
        <v>0</v>
      </c>
      <c r="O32" s="80">
        <f>IF(M32&lt;&gt;0,L32/M32,0)</f>
        <v>0</v>
      </c>
      <c r="P32" s="248">
        <f t="shared" ca="1" si="0"/>
        <v>0</v>
      </c>
      <c r="Q32" s="85">
        <f ca="1">O32*P32</f>
        <v>0</v>
      </c>
      <c r="R32" s="305"/>
    </row>
    <row r="33" spans="1:18" ht="24" customHeight="1" x14ac:dyDescent="0.2">
      <c r="A33" s="81">
        <f t="shared" si="1"/>
        <v>11</v>
      </c>
      <c r="B33" s="82" t="s">
        <v>291</v>
      </c>
      <c r="C33" s="82"/>
      <c r="D33" s="151">
        <v>19</v>
      </c>
      <c r="E33" s="82" t="s">
        <v>299</v>
      </c>
      <c r="F33" s="82" t="s">
        <v>434</v>
      </c>
      <c r="G33" s="83">
        <v>57.67</v>
      </c>
      <c r="H33" s="304" t="s">
        <v>91</v>
      </c>
      <c r="I33" s="246">
        <f>VLOOKUP($H33,Leistungswerte!$A$8:$E$54,3,FALSE)</f>
        <v>5</v>
      </c>
      <c r="J33" s="246">
        <f>VLOOKUP($H33,Leistungswerte!$A$8:$E$54,4,FALSE)</f>
        <v>0</v>
      </c>
      <c r="K33" s="246">
        <f>VLOOKUP($H33,Leistungswerte!$A$8:$E$54,5,FALSE)</f>
        <v>0</v>
      </c>
      <c r="L33" s="83">
        <f>($G$5/$G$6*I33+J33*12+K33)*G33</f>
        <v>11187.98</v>
      </c>
      <c r="M33" s="247">
        <f>VLOOKUP($H33,Leistungswerte!$A$8:$F$54,$P$2,FALSE)</f>
        <v>0</v>
      </c>
      <c r="N33" s="84">
        <f>IF(M33&lt;&gt;0,G33/M33/24,0)</f>
        <v>0</v>
      </c>
      <c r="O33" s="80">
        <f>IF(M33&lt;&gt;0,L33/M33,0)</f>
        <v>0</v>
      </c>
      <c r="P33" s="248">
        <f t="shared" ca="1" si="0"/>
        <v>0</v>
      </c>
      <c r="Q33" s="85">
        <f ca="1">O33*P33</f>
        <v>0</v>
      </c>
      <c r="R33" s="305"/>
    </row>
    <row r="34" spans="1:18" ht="24" customHeight="1" x14ac:dyDescent="0.2">
      <c r="A34" s="81">
        <f t="shared" si="1"/>
        <v>12</v>
      </c>
      <c r="B34" s="82" t="s">
        <v>291</v>
      </c>
      <c r="C34" s="82"/>
      <c r="D34" s="151">
        <v>17</v>
      </c>
      <c r="E34" s="82" t="s">
        <v>299</v>
      </c>
      <c r="F34" s="82" t="s">
        <v>434</v>
      </c>
      <c r="G34" s="83">
        <v>62.07</v>
      </c>
      <c r="H34" s="304" t="s">
        <v>91</v>
      </c>
      <c r="I34" s="246">
        <f>VLOOKUP($H34,Leistungswerte!$A$8:$E$54,3,FALSE)</f>
        <v>5</v>
      </c>
      <c r="J34" s="246">
        <f>VLOOKUP($H34,Leistungswerte!$A$8:$E$54,4,FALSE)</f>
        <v>0</v>
      </c>
      <c r="K34" s="246">
        <f>VLOOKUP($H34,Leistungswerte!$A$8:$E$54,5,FALSE)</f>
        <v>0</v>
      </c>
      <c r="L34" s="83">
        <f>($G$5/$G$6*I34+J34*12+K34)*G34</f>
        <v>12041.58</v>
      </c>
      <c r="M34" s="247">
        <f>VLOOKUP($H34,Leistungswerte!$A$8:$F$54,$P$2,FALSE)</f>
        <v>0</v>
      </c>
      <c r="N34" s="84">
        <f>IF(M34&lt;&gt;0,G34/M34/24,0)</f>
        <v>0</v>
      </c>
      <c r="O34" s="80">
        <f>IF(M34&lt;&gt;0,L34/M34,0)</f>
        <v>0</v>
      </c>
      <c r="P34" s="248">
        <f t="shared" ca="1" si="0"/>
        <v>0</v>
      </c>
      <c r="Q34" s="85">
        <f ca="1">O34*P34</f>
        <v>0</v>
      </c>
      <c r="R34" s="305"/>
    </row>
    <row r="35" spans="1:18" ht="24" customHeight="1" x14ac:dyDescent="0.2">
      <c r="A35" s="81">
        <f t="shared" si="1"/>
        <v>13</v>
      </c>
      <c r="B35" s="82" t="s">
        <v>276</v>
      </c>
      <c r="C35" s="82"/>
      <c r="D35" s="151"/>
      <c r="E35" s="82" t="s">
        <v>268</v>
      </c>
      <c r="F35" s="82" t="s">
        <v>437</v>
      </c>
      <c r="G35" s="83">
        <v>16.329999999999998</v>
      </c>
      <c r="H35" s="304" t="s">
        <v>75</v>
      </c>
      <c r="I35" s="246">
        <f>VLOOKUP($H35,Leistungswerte!$A$8:$E$54,3,FALSE)</f>
        <v>5</v>
      </c>
      <c r="J35" s="246">
        <f>VLOOKUP($H35,Leistungswerte!$A$8:$E$54,4,FALSE)</f>
        <v>0</v>
      </c>
      <c r="K35" s="246">
        <f>VLOOKUP($H35,Leistungswerte!$A$8:$E$54,5,FALSE)</f>
        <v>0</v>
      </c>
      <c r="L35" s="83">
        <f>($G$5/$G$6*I35+J35*12+K35)*G35</f>
        <v>3168.0199999999995</v>
      </c>
      <c r="M35" s="247">
        <f>VLOOKUP($H35,Leistungswerte!$A$8:$F$54,$P$2,FALSE)</f>
        <v>0</v>
      </c>
      <c r="N35" s="84">
        <f>IF(M35&lt;&gt;0,G35/M35/24,0)</f>
        <v>0</v>
      </c>
      <c r="O35" s="80">
        <f>IF(M35&lt;&gt;0,L35/M35,0)</f>
        <v>0</v>
      </c>
      <c r="P35" s="248">
        <f t="shared" ca="1" si="0"/>
        <v>0</v>
      </c>
      <c r="Q35" s="85">
        <f ca="1">O35*P35</f>
        <v>0</v>
      </c>
      <c r="R35" s="305"/>
    </row>
    <row r="36" spans="1:18" ht="24" customHeight="1" x14ac:dyDescent="0.2">
      <c r="A36" s="81">
        <f t="shared" si="1"/>
        <v>14</v>
      </c>
      <c r="B36" s="82" t="s">
        <v>292</v>
      </c>
      <c r="C36" s="82"/>
      <c r="D36" s="151">
        <v>7</v>
      </c>
      <c r="E36" s="82" t="s">
        <v>300</v>
      </c>
      <c r="F36" s="82" t="s">
        <v>440</v>
      </c>
      <c r="G36" s="83">
        <v>3.61</v>
      </c>
      <c r="H36" s="304" t="s">
        <v>448</v>
      </c>
      <c r="I36" s="246">
        <f>VLOOKUP($H36,Leistungswerte!$A$8:$E$54,3,FALSE)</f>
        <v>0</v>
      </c>
      <c r="J36" s="246">
        <f>VLOOKUP($H36,Leistungswerte!$A$8:$E$54,4,FALSE)</f>
        <v>0</v>
      </c>
      <c r="K36" s="246">
        <f>VLOOKUP($H36,Leistungswerte!$A$8:$E$54,5,FALSE)</f>
        <v>4</v>
      </c>
      <c r="L36" s="83">
        <f t="shared" ref="L36:L75" si="6">($G$5/$G$6*I36+J36*12+K36)*G36</f>
        <v>14.44</v>
      </c>
      <c r="M36" s="247">
        <f>VLOOKUP($H36,Leistungswerte!$A$8:$F$54,$P$2,FALSE)</f>
        <v>0</v>
      </c>
      <c r="N36" s="84">
        <f t="shared" ref="N36:N75" si="7">IF(M36&lt;&gt;0,G36/M36/24,0)</f>
        <v>0</v>
      </c>
      <c r="O36" s="80">
        <f t="shared" ref="O36:O75" si="8">IF(M36&lt;&gt;0,L36/M36,0)</f>
        <v>0</v>
      </c>
      <c r="P36" s="248">
        <f t="shared" ca="1" si="0"/>
        <v>0</v>
      </c>
      <c r="Q36" s="85">
        <f t="shared" ref="Q36:Q75" ca="1" si="9">O36*P36</f>
        <v>0</v>
      </c>
      <c r="R36" s="305"/>
    </row>
    <row r="37" spans="1:18" ht="24" customHeight="1" x14ac:dyDescent="0.2">
      <c r="A37" s="81">
        <f t="shared" si="1"/>
        <v>15</v>
      </c>
      <c r="B37" s="82" t="s">
        <v>293</v>
      </c>
      <c r="C37" s="82"/>
      <c r="D37" s="151">
        <v>7</v>
      </c>
      <c r="E37" s="82" t="s">
        <v>301</v>
      </c>
      <c r="F37" s="82" t="s">
        <v>440</v>
      </c>
      <c r="G37" s="83">
        <v>30.27</v>
      </c>
      <c r="H37" s="304" t="s">
        <v>81</v>
      </c>
      <c r="I37" s="246">
        <f>VLOOKUP($H37,Leistungswerte!$A$8:$E$54,3,FALSE)</f>
        <v>0</v>
      </c>
      <c r="J37" s="246">
        <f>VLOOKUP($H37,Leistungswerte!$A$8:$E$54,4,FALSE)</f>
        <v>0</v>
      </c>
      <c r="K37" s="246">
        <f>VLOOKUP($H37,Leistungswerte!$A$8:$E$54,5,FALSE)</f>
        <v>4</v>
      </c>
      <c r="L37" s="83">
        <f t="shared" si="6"/>
        <v>121.08</v>
      </c>
      <c r="M37" s="247">
        <f>VLOOKUP($H37,Leistungswerte!$A$8:$F$54,$P$2,FALSE)</f>
        <v>0</v>
      </c>
      <c r="N37" s="84">
        <f t="shared" si="7"/>
        <v>0</v>
      </c>
      <c r="O37" s="80">
        <f t="shared" si="8"/>
        <v>0</v>
      </c>
      <c r="P37" s="248">
        <f t="shared" ca="1" si="0"/>
        <v>0</v>
      </c>
      <c r="Q37" s="85">
        <f t="shared" ca="1" si="9"/>
        <v>0</v>
      </c>
      <c r="R37" s="305"/>
    </row>
    <row r="38" spans="1:18" ht="24" customHeight="1" x14ac:dyDescent="0.2">
      <c r="A38" s="81">
        <f t="shared" si="1"/>
        <v>16</v>
      </c>
      <c r="B38" s="82" t="s">
        <v>293</v>
      </c>
      <c r="C38" s="82"/>
      <c r="D38" s="151">
        <v>7</v>
      </c>
      <c r="E38" s="82" t="s">
        <v>301</v>
      </c>
      <c r="F38" s="82" t="s">
        <v>440</v>
      </c>
      <c r="G38" s="83">
        <v>28.8</v>
      </c>
      <c r="H38" s="304" t="s">
        <v>81</v>
      </c>
      <c r="I38" s="246">
        <f>VLOOKUP($H38,Leistungswerte!$A$8:$E$54,3,FALSE)</f>
        <v>0</v>
      </c>
      <c r="J38" s="246">
        <f>VLOOKUP($H38,Leistungswerte!$A$8:$E$54,4,FALSE)</f>
        <v>0</v>
      </c>
      <c r="K38" s="246">
        <f>VLOOKUP($H38,Leistungswerte!$A$8:$E$54,5,FALSE)</f>
        <v>4</v>
      </c>
      <c r="L38" s="83">
        <f t="shared" si="6"/>
        <v>115.2</v>
      </c>
      <c r="M38" s="247">
        <f>VLOOKUP($H38,Leistungswerte!$A$8:$F$54,$P$2,FALSE)</f>
        <v>0</v>
      </c>
      <c r="N38" s="84">
        <f t="shared" si="7"/>
        <v>0</v>
      </c>
      <c r="O38" s="80">
        <f t="shared" si="8"/>
        <v>0</v>
      </c>
      <c r="P38" s="248">
        <f t="shared" ca="1" si="0"/>
        <v>0</v>
      </c>
      <c r="Q38" s="85">
        <f t="shared" ca="1" si="9"/>
        <v>0</v>
      </c>
      <c r="R38" s="305"/>
    </row>
    <row r="39" spans="1:18" ht="24" customHeight="1" x14ac:dyDescent="0.2">
      <c r="A39" s="81">
        <f t="shared" si="1"/>
        <v>17</v>
      </c>
      <c r="B39" s="82" t="s">
        <v>276</v>
      </c>
      <c r="C39" s="82"/>
      <c r="D39" s="151">
        <v>8</v>
      </c>
      <c r="E39" s="303" t="s">
        <v>415</v>
      </c>
      <c r="F39" s="82" t="s">
        <v>436</v>
      </c>
      <c r="G39" s="83">
        <v>3.8</v>
      </c>
      <c r="H39" s="304" t="s">
        <v>79</v>
      </c>
      <c r="I39" s="246">
        <f>VLOOKUP($H39,Leistungswerte!$A$8:$E$54,3,FALSE)</f>
        <v>5</v>
      </c>
      <c r="J39" s="246">
        <f>VLOOKUP($H39,Leistungswerte!$A$8:$E$54,4,FALSE)</f>
        <v>0</v>
      </c>
      <c r="K39" s="246">
        <f>VLOOKUP($H39,Leistungswerte!$A$8:$E$54,5,FALSE)</f>
        <v>0</v>
      </c>
      <c r="L39" s="83">
        <f t="shared" si="6"/>
        <v>737.19999999999993</v>
      </c>
      <c r="M39" s="247">
        <f>VLOOKUP($H39,Leistungswerte!$A$8:$F$54,$P$2,FALSE)</f>
        <v>0</v>
      </c>
      <c r="N39" s="84">
        <f t="shared" si="7"/>
        <v>0</v>
      </c>
      <c r="O39" s="80">
        <f t="shared" si="8"/>
        <v>0</v>
      </c>
      <c r="P39" s="248">
        <f t="shared" ca="1" si="0"/>
        <v>0</v>
      </c>
      <c r="Q39" s="85">
        <f t="shared" ca="1" si="9"/>
        <v>0</v>
      </c>
      <c r="R39" s="305"/>
    </row>
    <row r="40" spans="1:18" ht="24" customHeight="1" x14ac:dyDescent="0.2">
      <c r="A40" s="81">
        <f t="shared" si="1"/>
        <v>18</v>
      </c>
      <c r="B40" s="82" t="s">
        <v>276</v>
      </c>
      <c r="C40" s="82"/>
      <c r="D40" s="151">
        <v>9</v>
      </c>
      <c r="E40" s="303" t="s">
        <v>446</v>
      </c>
      <c r="F40" s="82" t="s">
        <v>436</v>
      </c>
      <c r="G40" s="83">
        <v>16.399999999999999</v>
      </c>
      <c r="H40" s="304" t="s">
        <v>79</v>
      </c>
      <c r="I40" s="246">
        <f>VLOOKUP($H40,Leistungswerte!$A$8:$E$54,3,FALSE)</f>
        <v>5</v>
      </c>
      <c r="J40" s="246">
        <f>VLOOKUP($H40,Leistungswerte!$A$8:$E$54,4,FALSE)</f>
        <v>0</v>
      </c>
      <c r="K40" s="246">
        <f>VLOOKUP($H40,Leistungswerte!$A$8:$E$54,5,FALSE)</f>
        <v>0</v>
      </c>
      <c r="L40" s="83">
        <f t="shared" si="6"/>
        <v>3181.6</v>
      </c>
      <c r="M40" s="247">
        <f>VLOOKUP($H40,Leistungswerte!$A$8:$F$54,$P$2,FALSE)</f>
        <v>0</v>
      </c>
      <c r="N40" s="84">
        <f t="shared" si="7"/>
        <v>0</v>
      </c>
      <c r="O40" s="80">
        <f t="shared" si="8"/>
        <v>0</v>
      </c>
      <c r="P40" s="248">
        <f t="shared" ca="1" si="0"/>
        <v>0</v>
      </c>
      <c r="Q40" s="85">
        <f t="shared" ca="1" si="9"/>
        <v>0</v>
      </c>
      <c r="R40" s="305"/>
    </row>
    <row r="41" spans="1:18" ht="24" customHeight="1" x14ac:dyDescent="0.2">
      <c r="A41" s="81">
        <f t="shared" si="1"/>
        <v>19</v>
      </c>
      <c r="B41" s="82" t="s">
        <v>276</v>
      </c>
      <c r="C41" s="82"/>
      <c r="D41" s="151">
        <v>10</v>
      </c>
      <c r="E41" s="303" t="s">
        <v>447</v>
      </c>
      <c r="F41" s="82" t="s">
        <v>436</v>
      </c>
      <c r="G41" s="83">
        <v>11.7</v>
      </c>
      <c r="H41" s="304" t="s">
        <v>79</v>
      </c>
      <c r="I41" s="246">
        <f>VLOOKUP($H41,Leistungswerte!$A$8:$E$54,3,FALSE)</f>
        <v>5</v>
      </c>
      <c r="J41" s="246">
        <f>VLOOKUP($H41,Leistungswerte!$A$8:$E$54,4,FALSE)</f>
        <v>0</v>
      </c>
      <c r="K41" s="246">
        <f>VLOOKUP($H41,Leistungswerte!$A$8:$E$54,5,FALSE)</f>
        <v>0</v>
      </c>
      <c r="L41" s="83">
        <f t="shared" si="6"/>
        <v>2269.7999999999997</v>
      </c>
      <c r="M41" s="247">
        <f>VLOOKUP($H41,Leistungswerte!$A$8:$F$54,$P$2,FALSE)</f>
        <v>0</v>
      </c>
      <c r="N41" s="84">
        <f t="shared" si="7"/>
        <v>0</v>
      </c>
      <c r="O41" s="80">
        <f t="shared" si="8"/>
        <v>0</v>
      </c>
      <c r="P41" s="248">
        <f t="shared" ca="1" si="0"/>
        <v>0</v>
      </c>
      <c r="Q41" s="85">
        <f t="shared" ca="1" si="9"/>
        <v>0</v>
      </c>
      <c r="R41" s="305"/>
    </row>
    <row r="42" spans="1:18" ht="24" customHeight="1" x14ac:dyDescent="0.2">
      <c r="A42" s="81">
        <f t="shared" si="1"/>
        <v>20</v>
      </c>
      <c r="B42" s="82" t="s">
        <v>276</v>
      </c>
      <c r="C42" s="82"/>
      <c r="D42" s="151"/>
      <c r="E42" s="82" t="s">
        <v>267</v>
      </c>
      <c r="F42" s="82" t="s">
        <v>441</v>
      </c>
      <c r="G42" s="83">
        <v>9.68</v>
      </c>
      <c r="H42" s="245" t="s">
        <v>84</v>
      </c>
      <c r="I42" s="246">
        <f>VLOOKUP($H42,Leistungswerte!$A$8:$E$54,3,FALSE)</f>
        <v>5</v>
      </c>
      <c r="J42" s="246">
        <f>VLOOKUP($H42,Leistungswerte!$A$8:$E$54,4,FALSE)</f>
        <v>0</v>
      </c>
      <c r="K42" s="246">
        <f>VLOOKUP($H42,Leistungswerte!$A$8:$E$54,5,FALSE)</f>
        <v>0</v>
      </c>
      <c r="L42" s="83">
        <f t="shared" si="6"/>
        <v>1877.9199999999998</v>
      </c>
      <c r="M42" s="247">
        <f>VLOOKUP($H42,Leistungswerte!$A$8:$F$54,$P$2,FALSE)</f>
        <v>0</v>
      </c>
      <c r="N42" s="84">
        <f t="shared" si="7"/>
        <v>0</v>
      </c>
      <c r="O42" s="80">
        <f t="shared" si="8"/>
        <v>0</v>
      </c>
      <c r="P42" s="248">
        <f t="shared" ca="1" si="0"/>
        <v>0</v>
      </c>
      <c r="Q42" s="85">
        <f t="shared" ca="1" si="9"/>
        <v>0</v>
      </c>
      <c r="R42" s="305"/>
    </row>
    <row r="43" spans="1:18" ht="24" customHeight="1" x14ac:dyDescent="0.2">
      <c r="A43" s="81">
        <f t="shared" si="1"/>
        <v>21</v>
      </c>
      <c r="B43" s="82" t="s">
        <v>276</v>
      </c>
      <c r="C43" s="82"/>
      <c r="D43" s="151"/>
      <c r="E43" s="82" t="s">
        <v>268</v>
      </c>
      <c r="F43" s="82" t="s">
        <v>441</v>
      </c>
      <c r="G43" s="83">
        <v>36.520000000000003</v>
      </c>
      <c r="H43" s="304" t="s">
        <v>75</v>
      </c>
      <c r="I43" s="246">
        <f>VLOOKUP($H43,Leistungswerte!$A$8:$E$54,3,FALSE)</f>
        <v>5</v>
      </c>
      <c r="J43" s="246">
        <f>VLOOKUP($H43,Leistungswerte!$A$8:$E$54,4,FALSE)</f>
        <v>0</v>
      </c>
      <c r="K43" s="246">
        <f>VLOOKUP($H43,Leistungswerte!$A$8:$E$54,5,FALSE)</f>
        <v>0</v>
      </c>
      <c r="L43" s="83">
        <f t="shared" si="6"/>
        <v>7084.880000000001</v>
      </c>
      <c r="M43" s="247">
        <f>VLOOKUP($H43,Leistungswerte!$A$8:$F$54,$P$2,FALSE)</f>
        <v>0</v>
      </c>
      <c r="N43" s="84">
        <f t="shared" si="7"/>
        <v>0</v>
      </c>
      <c r="O43" s="80">
        <f t="shared" si="8"/>
        <v>0</v>
      </c>
      <c r="P43" s="248">
        <f t="shared" ca="1" si="0"/>
        <v>0</v>
      </c>
      <c r="Q43" s="85">
        <f t="shared" ca="1" si="9"/>
        <v>0</v>
      </c>
      <c r="R43" s="305"/>
    </row>
    <row r="44" spans="1:18" ht="24" customHeight="1" x14ac:dyDescent="0.2">
      <c r="A44" s="81">
        <f t="shared" si="1"/>
        <v>22</v>
      </c>
      <c r="B44" s="82" t="s">
        <v>276</v>
      </c>
      <c r="C44" s="82"/>
      <c r="D44" s="151"/>
      <c r="E44" s="82" t="s">
        <v>303</v>
      </c>
      <c r="F44" s="82" t="s">
        <v>441</v>
      </c>
      <c r="G44" s="83">
        <v>5.81</v>
      </c>
      <c r="H44" s="304" t="s">
        <v>73</v>
      </c>
      <c r="I44" s="246">
        <f>VLOOKUP($H44,Leistungswerte!$A$8:$E$54,3,FALSE)</f>
        <v>1</v>
      </c>
      <c r="J44" s="246">
        <f>VLOOKUP($H44,Leistungswerte!$A$8:$E$54,4,FALSE)</f>
        <v>0</v>
      </c>
      <c r="K44" s="246">
        <f>VLOOKUP($H44,Leistungswerte!$A$8:$E$54,5,FALSE)</f>
        <v>0</v>
      </c>
      <c r="L44" s="83">
        <f t="shared" si="6"/>
        <v>225.42799999999997</v>
      </c>
      <c r="M44" s="247">
        <f>VLOOKUP($H44,Leistungswerte!$A$8:$F$54,$P$2,FALSE)</f>
        <v>0</v>
      </c>
      <c r="N44" s="84">
        <f t="shared" si="7"/>
        <v>0</v>
      </c>
      <c r="O44" s="80">
        <f t="shared" si="8"/>
        <v>0</v>
      </c>
      <c r="P44" s="248">
        <f t="shared" ca="1" si="0"/>
        <v>0</v>
      </c>
      <c r="Q44" s="85">
        <f t="shared" ca="1" si="9"/>
        <v>0</v>
      </c>
      <c r="R44" s="305"/>
    </row>
    <row r="45" spans="1:18" ht="24" customHeight="1" x14ac:dyDescent="0.2">
      <c r="A45" s="81">
        <f t="shared" si="1"/>
        <v>23</v>
      </c>
      <c r="B45" s="82" t="s">
        <v>276</v>
      </c>
      <c r="C45" s="82"/>
      <c r="D45" s="151" t="s">
        <v>175</v>
      </c>
      <c r="E45" s="82" t="s">
        <v>304</v>
      </c>
      <c r="F45" s="82" t="s">
        <v>435</v>
      </c>
      <c r="G45" s="83">
        <v>31.65</v>
      </c>
      <c r="H45" s="304" t="s">
        <v>73</v>
      </c>
      <c r="I45" s="246">
        <f>VLOOKUP($H45,Leistungswerte!$A$8:$E$54,3,FALSE)</f>
        <v>1</v>
      </c>
      <c r="J45" s="246">
        <f>VLOOKUP($H45,Leistungswerte!$A$8:$E$54,4,FALSE)</f>
        <v>0</v>
      </c>
      <c r="K45" s="246">
        <f>VLOOKUP($H45,Leistungswerte!$A$8:$E$54,5,FALSE)</f>
        <v>0</v>
      </c>
      <c r="L45" s="83">
        <f t="shared" si="6"/>
        <v>1228.0199999999998</v>
      </c>
      <c r="M45" s="247">
        <f>VLOOKUP($H45,Leistungswerte!$A$8:$F$54,$P$2,FALSE)</f>
        <v>0</v>
      </c>
      <c r="N45" s="84">
        <f t="shared" si="7"/>
        <v>0</v>
      </c>
      <c r="O45" s="80">
        <f t="shared" si="8"/>
        <v>0</v>
      </c>
      <c r="P45" s="248">
        <f t="shared" ca="1" si="0"/>
        <v>0</v>
      </c>
      <c r="Q45" s="85">
        <f t="shared" ca="1" si="9"/>
        <v>0</v>
      </c>
      <c r="R45" s="305"/>
    </row>
    <row r="46" spans="1:18" ht="24" customHeight="1" x14ac:dyDescent="0.2">
      <c r="A46" s="81">
        <f t="shared" si="1"/>
        <v>24</v>
      </c>
      <c r="B46" s="82" t="s">
        <v>276</v>
      </c>
      <c r="C46" s="82"/>
      <c r="D46" s="151"/>
      <c r="E46" s="82" t="s">
        <v>304</v>
      </c>
      <c r="F46" s="82" t="s">
        <v>434</v>
      </c>
      <c r="G46" s="83">
        <v>1.36</v>
      </c>
      <c r="H46" s="304" t="s">
        <v>73</v>
      </c>
      <c r="I46" s="246">
        <f>VLOOKUP($H46,Leistungswerte!$A$8:$E$54,3,FALSE)</f>
        <v>1</v>
      </c>
      <c r="J46" s="246">
        <f>VLOOKUP($H46,Leistungswerte!$A$8:$E$54,4,FALSE)</f>
        <v>0</v>
      </c>
      <c r="K46" s="246">
        <f>VLOOKUP($H46,Leistungswerte!$A$8:$E$54,5,FALSE)</f>
        <v>0</v>
      </c>
      <c r="L46" s="83">
        <f t="shared" si="6"/>
        <v>52.768000000000001</v>
      </c>
      <c r="M46" s="247">
        <f>VLOOKUP($H46,Leistungswerte!$A$8:$F$54,$P$2,FALSE)</f>
        <v>0</v>
      </c>
      <c r="N46" s="84">
        <f t="shared" si="7"/>
        <v>0</v>
      </c>
      <c r="O46" s="80">
        <f t="shared" si="8"/>
        <v>0</v>
      </c>
      <c r="P46" s="248">
        <f t="shared" ca="1" si="0"/>
        <v>0</v>
      </c>
      <c r="Q46" s="85">
        <f t="shared" ca="1" si="9"/>
        <v>0</v>
      </c>
      <c r="R46" s="305"/>
    </row>
    <row r="47" spans="1:18" ht="24" customHeight="1" x14ac:dyDescent="0.2">
      <c r="A47" s="81">
        <f t="shared" si="1"/>
        <v>25</v>
      </c>
      <c r="B47" s="82" t="s">
        <v>276</v>
      </c>
      <c r="C47" s="82"/>
      <c r="D47" s="151"/>
      <c r="E47" s="82" t="s">
        <v>268</v>
      </c>
      <c r="F47" s="82" t="s">
        <v>441</v>
      </c>
      <c r="G47" s="83">
        <v>41.93</v>
      </c>
      <c r="H47" s="304" t="s">
        <v>75</v>
      </c>
      <c r="I47" s="246">
        <f>VLOOKUP($H47,Leistungswerte!$A$8:$E$54,3,FALSE)</f>
        <v>5</v>
      </c>
      <c r="J47" s="246">
        <f>VLOOKUP($H47,Leistungswerte!$A$8:$E$54,4,FALSE)</f>
        <v>0</v>
      </c>
      <c r="K47" s="246">
        <f>VLOOKUP($H47,Leistungswerte!$A$8:$E$54,5,FALSE)</f>
        <v>0</v>
      </c>
      <c r="L47" s="83">
        <f t="shared" si="6"/>
        <v>8134.42</v>
      </c>
      <c r="M47" s="247">
        <f>VLOOKUP($H47,Leistungswerte!$A$8:$F$54,$P$2,FALSE)</f>
        <v>0</v>
      </c>
      <c r="N47" s="84">
        <f t="shared" si="7"/>
        <v>0</v>
      </c>
      <c r="O47" s="80">
        <f t="shared" si="8"/>
        <v>0</v>
      </c>
      <c r="P47" s="248">
        <f t="shared" ca="1" si="0"/>
        <v>0</v>
      </c>
      <c r="Q47" s="85">
        <f t="shared" ca="1" si="9"/>
        <v>0</v>
      </c>
      <c r="R47" s="305"/>
    </row>
    <row r="48" spans="1:18" ht="24" customHeight="1" x14ac:dyDescent="0.2">
      <c r="A48" s="81">
        <f t="shared" si="1"/>
        <v>26</v>
      </c>
      <c r="B48" s="82" t="s">
        <v>276</v>
      </c>
      <c r="C48" s="82"/>
      <c r="D48" s="151" t="s">
        <v>239</v>
      </c>
      <c r="E48" s="82" t="s">
        <v>299</v>
      </c>
      <c r="F48" s="82" t="s">
        <v>434</v>
      </c>
      <c r="G48" s="83">
        <v>62.37</v>
      </c>
      <c r="H48" s="304" t="s">
        <v>91</v>
      </c>
      <c r="I48" s="246">
        <f>VLOOKUP($H48,Leistungswerte!$A$8:$E$54,3,FALSE)</f>
        <v>5</v>
      </c>
      <c r="J48" s="246">
        <f>VLOOKUP($H48,Leistungswerte!$A$8:$E$54,4,FALSE)</f>
        <v>0</v>
      </c>
      <c r="K48" s="246">
        <f>VLOOKUP($H48,Leistungswerte!$A$8:$E$54,5,FALSE)</f>
        <v>0</v>
      </c>
      <c r="L48" s="83">
        <f t="shared" si="6"/>
        <v>12099.779999999999</v>
      </c>
      <c r="M48" s="247">
        <f>VLOOKUP($H48,Leistungswerte!$A$8:$F$54,$P$2,FALSE)</f>
        <v>0</v>
      </c>
      <c r="N48" s="84">
        <f t="shared" si="7"/>
        <v>0</v>
      </c>
      <c r="O48" s="80">
        <f t="shared" si="8"/>
        <v>0</v>
      </c>
      <c r="P48" s="248">
        <f t="shared" ca="1" si="0"/>
        <v>0</v>
      </c>
      <c r="Q48" s="85">
        <f t="shared" ca="1" si="9"/>
        <v>0</v>
      </c>
      <c r="R48" s="305">
        <v>5.6</v>
      </c>
    </row>
    <row r="49" spans="1:18" ht="24" customHeight="1" x14ac:dyDescent="0.2">
      <c r="A49" s="81">
        <f t="shared" si="1"/>
        <v>27</v>
      </c>
      <c r="B49" s="82" t="s">
        <v>292</v>
      </c>
      <c r="C49" s="82"/>
      <c r="D49" s="151"/>
      <c r="E49" s="82" t="s">
        <v>272</v>
      </c>
      <c r="F49" s="82" t="s">
        <v>441</v>
      </c>
      <c r="G49" s="83">
        <v>9.9499999999999993</v>
      </c>
      <c r="H49" s="245" t="s">
        <v>76</v>
      </c>
      <c r="I49" s="246">
        <f>VLOOKUP($H49,Leistungswerte!$A$8:$E$54,3,FALSE)</f>
        <v>5</v>
      </c>
      <c r="J49" s="246">
        <f>VLOOKUP($H49,Leistungswerte!$A$8:$E$54,4,FALSE)</f>
        <v>0</v>
      </c>
      <c r="K49" s="246">
        <f>VLOOKUP($H49,Leistungswerte!$A$8:$E$54,5,FALSE)</f>
        <v>0</v>
      </c>
      <c r="L49" s="83">
        <f t="shared" si="6"/>
        <v>1930.3</v>
      </c>
      <c r="M49" s="247">
        <f>VLOOKUP($H49,Leistungswerte!$A$8:$F$54,$P$2,FALSE)</f>
        <v>0</v>
      </c>
      <c r="N49" s="84">
        <f t="shared" si="7"/>
        <v>0</v>
      </c>
      <c r="O49" s="80">
        <f t="shared" si="8"/>
        <v>0</v>
      </c>
      <c r="P49" s="248">
        <f t="shared" ca="1" si="0"/>
        <v>0</v>
      </c>
      <c r="Q49" s="85">
        <f t="shared" ca="1" si="9"/>
        <v>0</v>
      </c>
      <c r="R49" s="305"/>
    </row>
    <row r="50" spans="1:18" ht="24" customHeight="1" x14ac:dyDescent="0.2">
      <c r="A50" s="81">
        <f t="shared" si="1"/>
        <v>28</v>
      </c>
      <c r="B50" s="82" t="s">
        <v>292</v>
      </c>
      <c r="C50" s="82"/>
      <c r="D50" s="151"/>
      <c r="E50" s="82" t="s">
        <v>295</v>
      </c>
      <c r="F50" s="82" t="s">
        <v>441</v>
      </c>
      <c r="G50" s="83">
        <v>4.93</v>
      </c>
      <c r="H50" s="245" t="s">
        <v>76</v>
      </c>
      <c r="I50" s="246">
        <f>VLOOKUP($H50,Leistungswerte!$A$8:$E$54,3,FALSE)</f>
        <v>5</v>
      </c>
      <c r="J50" s="246">
        <f>VLOOKUP($H50,Leistungswerte!$A$8:$E$54,4,FALSE)</f>
        <v>0</v>
      </c>
      <c r="K50" s="246">
        <f>VLOOKUP($H50,Leistungswerte!$A$8:$E$54,5,FALSE)</f>
        <v>0</v>
      </c>
      <c r="L50" s="83">
        <f t="shared" si="6"/>
        <v>956.42</v>
      </c>
      <c r="M50" s="247">
        <f>VLOOKUP($H50,Leistungswerte!$A$8:$F$54,$P$2,FALSE)</f>
        <v>0</v>
      </c>
      <c r="N50" s="84">
        <f t="shared" si="7"/>
        <v>0</v>
      </c>
      <c r="O50" s="80">
        <f t="shared" si="8"/>
        <v>0</v>
      </c>
      <c r="P50" s="248">
        <f t="shared" ca="1" si="0"/>
        <v>0</v>
      </c>
      <c r="Q50" s="85">
        <f t="shared" ca="1" si="9"/>
        <v>0</v>
      </c>
      <c r="R50" s="305"/>
    </row>
    <row r="51" spans="1:18" ht="24" customHeight="1" x14ac:dyDescent="0.2">
      <c r="A51" s="81">
        <f t="shared" si="1"/>
        <v>29</v>
      </c>
      <c r="B51" s="82" t="s">
        <v>291</v>
      </c>
      <c r="C51" s="82"/>
      <c r="D51" s="151"/>
      <c r="E51" s="82" t="s">
        <v>295</v>
      </c>
      <c r="F51" s="82" t="s">
        <v>441</v>
      </c>
      <c r="G51" s="83">
        <v>35.17</v>
      </c>
      <c r="H51" s="245" t="s">
        <v>76</v>
      </c>
      <c r="I51" s="246">
        <f>VLOOKUP($H51,Leistungswerte!$A$8:$E$54,3,FALSE)</f>
        <v>5</v>
      </c>
      <c r="J51" s="246">
        <f>VLOOKUP($H51,Leistungswerte!$A$8:$E$54,4,FALSE)</f>
        <v>0</v>
      </c>
      <c r="K51" s="246">
        <f>VLOOKUP($H51,Leistungswerte!$A$8:$E$54,5,FALSE)</f>
        <v>0</v>
      </c>
      <c r="L51" s="83">
        <f t="shared" si="6"/>
        <v>6822.9800000000005</v>
      </c>
      <c r="M51" s="247">
        <f>VLOOKUP($H51,Leistungswerte!$A$8:$F$54,$P$2,FALSE)</f>
        <v>0</v>
      </c>
      <c r="N51" s="84">
        <f t="shared" si="7"/>
        <v>0</v>
      </c>
      <c r="O51" s="80">
        <f t="shared" si="8"/>
        <v>0</v>
      </c>
      <c r="P51" s="248">
        <f t="shared" ca="1" si="0"/>
        <v>0</v>
      </c>
      <c r="Q51" s="85">
        <f t="shared" ca="1" si="9"/>
        <v>0</v>
      </c>
      <c r="R51" s="305">
        <v>5.5</v>
      </c>
    </row>
    <row r="52" spans="1:18" ht="24" customHeight="1" x14ac:dyDescent="0.2">
      <c r="A52" s="81">
        <f t="shared" si="1"/>
        <v>30</v>
      </c>
      <c r="B52" s="82" t="s">
        <v>291</v>
      </c>
      <c r="C52" s="82"/>
      <c r="D52" s="151" t="s">
        <v>242</v>
      </c>
      <c r="E52" s="82" t="s">
        <v>305</v>
      </c>
      <c r="F52" s="82" t="s">
        <v>435</v>
      </c>
      <c r="G52" s="83">
        <v>33.03</v>
      </c>
      <c r="H52" s="304" t="s">
        <v>73</v>
      </c>
      <c r="I52" s="246">
        <f>VLOOKUP($H52,Leistungswerte!$A$8:$E$54,3,FALSE)</f>
        <v>1</v>
      </c>
      <c r="J52" s="246">
        <f>VLOOKUP($H52,Leistungswerte!$A$8:$E$54,4,FALSE)</f>
        <v>0</v>
      </c>
      <c r="K52" s="246">
        <f>VLOOKUP($H52,Leistungswerte!$A$8:$E$54,5,FALSE)</f>
        <v>0</v>
      </c>
      <c r="L52" s="83">
        <f t="shared" si="6"/>
        <v>1281.5639999999999</v>
      </c>
      <c r="M52" s="247">
        <f>VLOOKUP($H52,Leistungswerte!$A$8:$F$54,$P$2,FALSE)</f>
        <v>0</v>
      </c>
      <c r="N52" s="84">
        <f t="shared" si="7"/>
        <v>0</v>
      </c>
      <c r="O52" s="80">
        <f t="shared" si="8"/>
        <v>0</v>
      </c>
      <c r="P52" s="248">
        <f t="shared" ca="1" si="0"/>
        <v>0</v>
      </c>
      <c r="Q52" s="85">
        <f t="shared" ca="1" si="9"/>
        <v>0</v>
      </c>
      <c r="R52" s="305"/>
    </row>
    <row r="53" spans="1:18" ht="24" customHeight="1" x14ac:dyDescent="0.2">
      <c r="A53" s="81">
        <f t="shared" si="1"/>
        <v>31</v>
      </c>
      <c r="B53" s="82" t="s">
        <v>291</v>
      </c>
      <c r="C53" s="82"/>
      <c r="D53" s="151"/>
      <c r="E53" s="82" t="s">
        <v>268</v>
      </c>
      <c r="F53" s="82" t="s">
        <v>441</v>
      </c>
      <c r="G53" s="83">
        <v>42.06</v>
      </c>
      <c r="H53" s="304" t="s">
        <v>75</v>
      </c>
      <c r="I53" s="246">
        <f>VLOOKUP($H53,Leistungswerte!$A$8:$E$54,3,FALSE)</f>
        <v>5</v>
      </c>
      <c r="J53" s="246">
        <f>VLOOKUP($H53,Leistungswerte!$A$8:$E$54,4,FALSE)</f>
        <v>0</v>
      </c>
      <c r="K53" s="246">
        <f>VLOOKUP($H53,Leistungswerte!$A$8:$E$54,5,FALSE)</f>
        <v>0</v>
      </c>
      <c r="L53" s="83">
        <f t="shared" si="6"/>
        <v>8159.64</v>
      </c>
      <c r="M53" s="247">
        <f>VLOOKUP($H53,Leistungswerte!$A$8:$F$54,$P$2,FALSE)</f>
        <v>0</v>
      </c>
      <c r="N53" s="84">
        <f t="shared" si="7"/>
        <v>0</v>
      </c>
      <c r="O53" s="80">
        <f t="shared" si="8"/>
        <v>0</v>
      </c>
      <c r="P53" s="248">
        <f t="shared" ca="1" si="0"/>
        <v>0</v>
      </c>
      <c r="Q53" s="85">
        <f t="shared" ca="1" si="9"/>
        <v>0</v>
      </c>
      <c r="R53" s="305"/>
    </row>
    <row r="54" spans="1:18" ht="24" customHeight="1" x14ac:dyDescent="0.2">
      <c r="A54" s="81">
        <f t="shared" si="1"/>
        <v>32</v>
      </c>
      <c r="B54" s="82" t="s">
        <v>292</v>
      </c>
      <c r="C54" s="82"/>
      <c r="D54" s="151" t="s">
        <v>243</v>
      </c>
      <c r="E54" s="82" t="s">
        <v>272</v>
      </c>
      <c r="F54" s="82" t="s">
        <v>441</v>
      </c>
      <c r="G54" s="83">
        <v>9.9499999999999993</v>
      </c>
      <c r="H54" s="245" t="s">
        <v>76</v>
      </c>
      <c r="I54" s="246">
        <f>VLOOKUP($H54,Leistungswerte!$A$8:$E$54,3,FALSE)</f>
        <v>5</v>
      </c>
      <c r="J54" s="246">
        <f>VLOOKUP($H54,Leistungswerte!$A$8:$E$54,4,FALSE)</f>
        <v>0</v>
      </c>
      <c r="K54" s="246">
        <f>VLOOKUP($H54,Leistungswerte!$A$8:$E$54,5,FALSE)</f>
        <v>0</v>
      </c>
      <c r="L54" s="83">
        <f t="shared" si="6"/>
        <v>1930.3</v>
      </c>
      <c r="M54" s="247">
        <f>VLOOKUP($H54,Leistungswerte!$A$8:$F$54,$P$2,FALSE)</f>
        <v>0</v>
      </c>
      <c r="N54" s="84">
        <f t="shared" si="7"/>
        <v>0</v>
      </c>
      <c r="O54" s="80">
        <f t="shared" si="8"/>
        <v>0</v>
      </c>
      <c r="P54" s="248">
        <f t="shared" ca="1" si="0"/>
        <v>0</v>
      </c>
      <c r="Q54" s="85">
        <f t="shared" ca="1" si="9"/>
        <v>0</v>
      </c>
      <c r="R54" s="305"/>
    </row>
    <row r="55" spans="1:18" ht="24" customHeight="1" x14ac:dyDescent="0.2">
      <c r="A55" s="81">
        <f t="shared" si="1"/>
        <v>33</v>
      </c>
      <c r="B55" s="82" t="s">
        <v>292</v>
      </c>
      <c r="C55" s="82"/>
      <c r="D55" s="151" t="s">
        <v>244</v>
      </c>
      <c r="E55" s="82" t="s">
        <v>295</v>
      </c>
      <c r="F55" s="82" t="s">
        <v>441</v>
      </c>
      <c r="G55" s="83">
        <v>4.93</v>
      </c>
      <c r="H55" s="245" t="s">
        <v>76</v>
      </c>
      <c r="I55" s="246">
        <f>VLOOKUP($H55,Leistungswerte!$A$8:$E$54,3,FALSE)</f>
        <v>5</v>
      </c>
      <c r="J55" s="246">
        <f>VLOOKUP($H55,Leistungswerte!$A$8:$E$54,4,FALSE)</f>
        <v>0</v>
      </c>
      <c r="K55" s="246">
        <f>VLOOKUP($H55,Leistungswerte!$A$8:$E$54,5,FALSE)</f>
        <v>0</v>
      </c>
      <c r="L55" s="83">
        <f t="shared" si="6"/>
        <v>956.42</v>
      </c>
      <c r="M55" s="247">
        <f>VLOOKUP($H55,Leistungswerte!$A$8:$F$54,$P$2,FALSE)</f>
        <v>0</v>
      </c>
      <c r="N55" s="84">
        <f t="shared" si="7"/>
        <v>0</v>
      </c>
      <c r="O55" s="80">
        <f t="shared" si="8"/>
        <v>0</v>
      </c>
      <c r="P55" s="248">
        <f t="shared" ca="1" si="0"/>
        <v>0</v>
      </c>
      <c r="Q55" s="85">
        <f t="shared" ca="1" si="9"/>
        <v>0</v>
      </c>
      <c r="R55" s="305"/>
    </row>
    <row r="56" spans="1:18" ht="24" customHeight="1" x14ac:dyDescent="0.2">
      <c r="A56" s="81">
        <f t="shared" si="1"/>
        <v>34</v>
      </c>
      <c r="B56" s="82" t="s">
        <v>278</v>
      </c>
      <c r="C56" s="82"/>
      <c r="D56" s="151" t="s">
        <v>245</v>
      </c>
      <c r="E56" s="82" t="s">
        <v>295</v>
      </c>
      <c r="F56" s="82" t="s">
        <v>441</v>
      </c>
      <c r="G56" s="83">
        <v>5.55</v>
      </c>
      <c r="H56" s="245" t="s">
        <v>76</v>
      </c>
      <c r="I56" s="246">
        <f>VLOOKUP($H56,Leistungswerte!$A$8:$E$54,3,FALSE)</f>
        <v>5</v>
      </c>
      <c r="J56" s="246">
        <f>VLOOKUP($H56,Leistungswerte!$A$8:$E$54,4,FALSE)</f>
        <v>0</v>
      </c>
      <c r="K56" s="246">
        <f>VLOOKUP($H56,Leistungswerte!$A$8:$E$54,5,FALSE)</f>
        <v>0</v>
      </c>
      <c r="L56" s="83">
        <f t="shared" si="6"/>
        <v>1076.7</v>
      </c>
      <c r="M56" s="247">
        <f>VLOOKUP($H56,Leistungswerte!$A$8:$F$54,$P$2,FALSE)</f>
        <v>0</v>
      </c>
      <c r="N56" s="84">
        <f t="shared" si="7"/>
        <v>0</v>
      </c>
      <c r="O56" s="80">
        <f t="shared" si="8"/>
        <v>0</v>
      </c>
      <c r="P56" s="248">
        <f t="shared" ca="1" si="0"/>
        <v>0</v>
      </c>
      <c r="Q56" s="85">
        <f t="shared" ca="1" si="9"/>
        <v>0</v>
      </c>
      <c r="R56" s="305"/>
    </row>
    <row r="57" spans="1:18" ht="24" customHeight="1" x14ac:dyDescent="0.2">
      <c r="A57" s="81">
        <f t="shared" si="1"/>
        <v>35</v>
      </c>
      <c r="B57" s="82" t="s">
        <v>278</v>
      </c>
      <c r="C57" s="82"/>
      <c r="D57" s="151"/>
      <c r="E57" s="82" t="s">
        <v>268</v>
      </c>
      <c r="F57" s="82" t="s">
        <v>435</v>
      </c>
      <c r="G57" s="83">
        <v>3.11</v>
      </c>
      <c r="H57" s="304" t="s">
        <v>74</v>
      </c>
      <c r="I57" s="246">
        <f>VLOOKUP($H57,Leistungswerte!$A$8:$E$54,3,FALSE)</f>
        <v>1</v>
      </c>
      <c r="J57" s="246">
        <f>VLOOKUP($H57,Leistungswerte!$A$8:$E$54,4,FALSE)</f>
        <v>0</v>
      </c>
      <c r="K57" s="246">
        <f>VLOOKUP($H57,Leistungswerte!$A$8:$E$54,5,FALSE)</f>
        <v>0</v>
      </c>
      <c r="L57" s="83">
        <f t="shared" si="6"/>
        <v>120.66799999999999</v>
      </c>
      <c r="M57" s="247">
        <f>VLOOKUP($H57,Leistungswerte!$A$8:$F$54,$P$2,FALSE)</f>
        <v>0</v>
      </c>
      <c r="N57" s="84">
        <f t="shared" si="7"/>
        <v>0</v>
      </c>
      <c r="O57" s="80">
        <f t="shared" si="8"/>
        <v>0</v>
      </c>
      <c r="P57" s="248">
        <f t="shared" ca="1" si="0"/>
        <v>0</v>
      </c>
      <c r="Q57" s="85">
        <f t="shared" ca="1" si="9"/>
        <v>0</v>
      </c>
      <c r="R57" s="305"/>
    </row>
    <row r="58" spans="1:18" ht="24" customHeight="1" x14ac:dyDescent="0.2">
      <c r="A58" s="81">
        <f t="shared" si="1"/>
        <v>36</v>
      </c>
      <c r="B58" s="82" t="s">
        <v>278</v>
      </c>
      <c r="C58" s="82"/>
      <c r="D58" s="151"/>
      <c r="E58" s="82" t="s">
        <v>285</v>
      </c>
      <c r="F58" s="82" t="s">
        <v>435</v>
      </c>
      <c r="G58" s="83">
        <v>13.41</v>
      </c>
      <c r="H58" s="304" t="s">
        <v>81</v>
      </c>
      <c r="I58" s="246">
        <f>VLOOKUP($H58,Leistungswerte!$A$8:$E$54,3,FALSE)</f>
        <v>0</v>
      </c>
      <c r="J58" s="246">
        <f>VLOOKUP($H58,Leistungswerte!$A$8:$E$54,4,FALSE)</f>
        <v>0</v>
      </c>
      <c r="K58" s="246">
        <f>VLOOKUP($H58,Leistungswerte!$A$8:$E$54,5,FALSE)</f>
        <v>4</v>
      </c>
      <c r="L58" s="83">
        <f t="shared" si="6"/>
        <v>53.64</v>
      </c>
      <c r="M58" s="247">
        <f>VLOOKUP($H58,Leistungswerte!$A$8:$F$54,$P$2,FALSE)</f>
        <v>0</v>
      </c>
      <c r="N58" s="84">
        <f t="shared" si="7"/>
        <v>0</v>
      </c>
      <c r="O58" s="80">
        <f t="shared" si="8"/>
        <v>0</v>
      </c>
      <c r="P58" s="248">
        <f t="shared" ca="1" si="0"/>
        <v>0</v>
      </c>
      <c r="Q58" s="85">
        <f t="shared" ca="1" si="9"/>
        <v>0</v>
      </c>
      <c r="R58" s="305"/>
    </row>
    <row r="59" spans="1:18" ht="24" customHeight="1" x14ac:dyDescent="0.2">
      <c r="A59" s="81">
        <f t="shared" si="1"/>
        <v>37</v>
      </c>
      <c r="B59" s="82" t="s">
        <v>278</v>
      </c>
      <c r="C59" s="82"/>
      <c r="D59" s="151"/>
      <c r="E59" s="82" t="s">
        <v>306</v>
      </c>
      <c r="F59" s="82" t="s">
        <v>435</v>
      </c>
      <c r="G59" s="83">
        <v>24.1</v>
      </c>
      <c r="H59" s="304" t="s">
        <v>142</v>
      </c>
      <c r="I59" s="246">
        <f>VLOOKUP($H59,Leistungswerte!$A$8:$E$54,3,FALSE)</f>
        <v>1</v>
      </c>
      <c r="J59" s="246">
        <f>VLOOKUP($H59,Leistungswerte!$A$8:$E$54,4,FALSE)</f>
        <v>0</v>
      </c>
      <c r="K59" s="246">
        <f>VLOOKUP($H59,Leistungswerte!$A$8:$E$54,5,FALSE)</f>
        <v>0</v>
      </c>
      <c r="L59" s="83">
        <f t="shared" si="6"/>
        <v>935.08</v>
      </c>
      <c r="M59" s="247">
        <f>VLOOKUP($H59,Leistungswerte!$A$8:$F$54,$P$2,FALSE)</f>
        <v>0</v>
      </c>
      <c r="N59" s="84">
        <f t="shared" si="7"/>
        <v>0</v>
      </c>
      <c r="O59" s="80">
        <f t="shared" si="8"/>
        <v>0</v>
      </c>
      <c r="P59" s="248">
        <f t="shared" ca="1" si="0"/>
        <v>0</v>
      </c>
      <c r="Q59" s="85">
        <f t="shared" ca="1" si="9"/>
        <v>0</v>
      </c>
      <c r="R59" s="305"/>
    </row>
    <row r="60" spans="1:18" ht="24" customHeight="1" x14ac:dyDescent="0.2">
      <c r="A60" s="81">
        <f t="shared" si="1"/>
        <v>38</v>
      </c>
      <c r="B60" s="82" t="s">
        <v>278</v>
      </c>
      <c r="C60" s="82"/>
      <c r="D60" s="151"/>
      <c r="E60" s="82" t="s">
        <v>285</v>
      </c>
      <c r="F60" s="82" t="s">
        <v>435</v>
      </c>
      <c r="G60" s="83">
        <v>4.21</v>
      </c>
      <c r="H60" s="304" t="s">
        <v>81</v>
      </c>
      <c r="I60" s="246">
        <f>VLOOKUP($H60,Leistungswerte!$A$8:$E$54,3,FALSE)</f>
        <v>0</v>
      </c>
      <c r="J60" s="246">
        <f>VLOOKUP($H60,Leistungswerte!$A$8:$E$54,4,FALSE)</f>
        <v>0</v>
      </c>
      <c r="K60" s="246">
        <f>VLOOKUP($H60,Leistungswerte!$A$8:$E$54,5,FALSE)</f>
        <v>4</v>
      </c>
      <c r="L60" s="83">
        <f t="shared" si="6"/>
        <v>16.84</v>
      </c>
      <c r="M60" s="247">
        <f>VLOOKUP($H60,Leistungswerte!$A$8:$F$54,$P$2,FALSE)</f>
        <v>0</v>
      </c>
      <c r="N60" s="84">
        <f t="shared" si="7"/>
        <v>0</v>
      </c>
      <c r="O60" s="80">
        <f t="shared" si="8"/>
        <v>0</v>
      </c>
      <c r="P60" s="248">
        <f t="shared" ca="1" si="0"/>
        <v>0</v>
      </c>
      <c r="Q60" s="85">
        <f t="shared" ca="1" si="9"/>
        <v>0</v>
      </c>
      <c r="R60" s="305"/>
    </row>
    <row r="61" spans="1:18" ht="24" customHeight="1" x14ac:dyDescent="0.2">
      <c r="A61" s="81">
        <f t="shared" si="1"/>
        <v>39</v>
      </c>
      <c r="B61" s="82" t="s">
        <v>276</v>
      </c>
      <c r="C61" s="82"/>
      <c r="D61" s="151"/>
      <c r="E61" s="82" t="s">
        <v>307</v>
      </c>
      <c r="F61" s="82" t="s">
        <v>434</v>
      </c>
      <c r="G61" s="83">
        <v>160.09</v>
      </c>
      <c r="H61" s="304" t="s">
        <v>545</v>
      </c>
      <c r="I61" s="246">
        <f>VLOOKUP($H61,Leistungswerte!$A$8:$E$54,3,FALSE)</f>
        <v>1</v>
      </c>
      <c r="J61" s="246">
        <f>VLOOKUP($H61,Leistungswerte!$A$8:$E$54,4,FALSE)</f>
        <v>0</v>
      </c>
      <c r="K61" s="246">
        <f>VLOOKUP($H61,Leistungswerte!$A$8:$E$54,5,FALSE)</f>
        <v>0</v>
      </c>
      <c r="L61" s="83">
        <f t="shared" si="6"/>
        <v>6211.4919999999993</v>
      </c>
      <c r="M61" s="247">
        <f>VLOOKUP($H61,Leistungswerte!$A$8:$F$54,$P$2,FALSE)</f>
        <v>0</v>
      </c>
      <c r="N61" s="84">
        <f t="shared" si="7"/>
        <v>0</v>
      </c>
      <c r="O61" s="80">
        <f t="shared" si="8"/>
        <v>0</v>
      </c>
      <c r="P61" s="248">
        <f t="shared" ca="1" si="0"/>
        <v>0</v>
      </c>
      <c r="Q61" s="85">
        <f t="shared" ca="1" si="9"/>
        <v>0</v>
      </c>
      <c r="R61" s="305"/>
    </row>
    <row r="62" spans="1:18" ht="24" customHeight="1" x14ac:dyDescent="0.2">
      <c r="A62" s="81">
        <f t="shared" si="1"/>
        <v>40</v>
      </c>
      <c r="B62" s="82" t="s">
        <v>276</v>
      </c>
      <c r="C62" s="82"/>
      <c r="D62" s="151"/>
      <c r="E62" s="82" t="s">
        <v>308</v>
      </c>
      <c r="F62" s="82" t="s">
        <v>442</v>
      </c>
      <c r="G62" s="83">
        <v>11.75</v>
      </c>
      <c r="H62" s="304" t="s">
        <v>450</v>
      </c>
      <c r="I62" s="246">
        <f>VLOOKUP($H62,Leistungswerte!$A$8:$E$54,3,FALSE)</f>
        <v>0</v>
      </c>
      <c r="J62" s="246">
        <f>VLOOKUP($H62,Leistungswerte!$A$8:$E$54,4,FALSE)</f>
        <v>2</v>
      </c>
      <c r="K62" s="246">
        <f>VLOOKUP($H62,Leistungswerte!$A$8:$E$54,5,FALSE)</f>
        <v>0</v>
      </c>
      <c r="L62" s="83">
        <f t="shared" si="6"/>
        <v>282</v>
      </c>
      <c r="M62" s="247">
        <f>VLOOKUP($H62,Leistungswerte!$A$8:$F$54,$P$2,FALSE)</f>
        <v>0</v>
      </c>
      <c r="N62" s="84">
        <f t="shared" si="7"/>
        <v>0</v>
      </c>
      <c r="O62" s="80">
        <f t="shared" si="8"/>
        <v>0</v>
      </c>
      <c r="P62" s="248">
        <f t="shared" ca="1" si="0"/>
        <v>0</v>
      </c>
      <c r="Q62" s="85">
        <f t="shared" ca="1" si="9"/>
        <v>0</v>
      </c>
      <c r="R62" s="305"/>
    </row>
    <row r="63" spans="1:18" ht="24" customHeight="1" x14ac:dyDescent="0.2">
      <c r="A63" s="81">
        <f t="shared" si="1"/>
        <v>41</v>
      </c>
      <c r="B63" s="82" t="s">
        <v>276</v>
      </c>
      <c r="C63" s="82"/>
      <c r="D63" s="151" t="s">
        <v>294</v>
      </c>
      <c r="E63" s="82" t="s">
        <v>309</v>
      </c>
      <c r="F63" s="82" t="s">
        <v>434</v>
      </c>
      <c r="G63" s="83">
        <v>50.75</v>
      </c>
      <c r="H63" s="304" t="s">
        <v>142</v>
      </c>
      <c r="I63" s="246">
        <f>VLOOKUP($H63,Leistungswerte!$A$8:$E$54,3,FALSE)</f>
        <v>1</v>
      </c>
      <c r="J63" s="246">
        <f>VLOOKUP($H63,Leistungswerte!$A$8:$E$54,4,FALSE)</f>
        <v>0</v>
      </c>
      <c r="K63" s="246">
        <f>VLOOKUP($H63,Leistungswerte!$A$8:$E$54,5,FALSE)</f>
        <v>0</v>
      </c>
      <c r="L63" s="83">
        <f t="shared" si="6"/>
        <v>1969.1</v>
      </c>
      <c r="M63" s="247">
        <f>VLOOKUP($H63,Leistungswerte!$A$8:$F$54,$P$2,FALSE)</f>
        <v>0</v>
      </c>
      <c r="N63" s="84">
        <f t="shared" si="7"/>
        <v>0</v>
      </c>
      <c r="O63" s="80">
        <f t="shared" si="8"/>
        <v>0</v>
      </c>
      <c r="P63" s="248">
        <f t="shared" ca="1" si="0"/>
        <v>0</v>
      </c>
      <c r="Q63" s="85">
        <f t="shared" ca="1" si="9"/>
        <v>0</v>
      </c>
      <c r="R63" s="305">
        <v>8</v>
      </c>
    </row>
    <row r="64" spans="1:18" ht="24" customHeight="1" x14ac:dyDescent="0.2">
      <c r="A64" s="81">
        <f t="shared" si="1"/>
        <v>42</v>
      </c>
      <c r="B64" s="82" t="s">
        <v>276</v>
      </c>
      <c r="C64" s="82"/>
      <c r="D64" s="151"/>
      <c r="E64" s="82" t="s">
        <v>268</v>
      </c>
      <c r="F64" s="82" t="s">
        <v>434</v>
      </c>
      <c r="G64" s="83">
        <v>27.8</v>
      </c>
      <c r="H64" s="304" t="s">
        <v>75</v>
      </c>
      <c r="I64" s="246">
        <f>VLOOKUP($H64,Leistungswerte!$A$8:$E$54,3,FALSE)</f>
        <v>5</v>
      </c>
      <c r="J64" s="246">
        <f>VLOOKUP($H64,Leistungswerte!$A$8:$E$54,4,FALSE)</f>
        <v>0</v>
      </c>
      <c r="K64" s="246">
        <f>VLOOKUP($H64,Leistungswerte!$A$8:$E$54,5,FALSE)</f>
        <v>0</v>
      </c>
      <c r="L64" s="83">
        <f t="shared" si="6"/>
        <v>5393.2</v>
      </c>
      <c r="M64" s="247">
        <f>VLOOKUP($H64,Leistungswerte!$A$8:$F$54,$P$2,FALSE)</f>
        <v>0</v>
      </c>
      <c r="N64" s="84">
        <f t="shared" si="7"/>
        <v>0</v>
      </c>
      <c r="O64" s="80">
        <f t="shared" si="8"/>
        <v>0</v>
      </c>
      <c r="P64" s="248">
        <f t="shared" ca="1" si="0"/>
        <v>0</v>
      </c>
      <c r="Q64" s="85">
        <f t="shared" ca="1" si="9"/>
        <v>0</v>
      </c>
      <c r="R64" s="305"/>
    </row>
    <row r="65" spans="1:18" ht="24" customHeight="1" x14ac:dyDescent="0.2">
      <c r="A65" s="81">
        <f t="shared" si="1"/>
        <v>43</v>
      </c>
      <c r="B65" s="82" t="s">
        <v>276</v>
      </c>
      <c r="C65" s="82"/>
      <c r="D65" s="337"/>
      <c r="E65" s="303" t="s">
        <v>310</v>
      </c>
      <c r="F65" s="82" t="s">
        <v>434</v>
      </c>
      <c r="G65" s="83">
        <v>55.57</v>
      </c>
      <c r="H65" s="245" t="s">
        <v>90</v>
      </c>
      <c r="I65" s="246">
        <f>VLOOKUP($H65,Leistungswerte!$A$8:$E$54,3,FALSE)</f>
        <v>1</v>
      </c>
      <c r="J65" s="246">
        <f>VLOOKUP($H65,Leistungswerte!$A$8:$E$54,4,FALSE)</f>
        <v>0</v>
      </c>
      <c r="K65" s="246">
        <f>VLOOKUP($H65,Leistungswerte!$A$8:$E$54,5,FALSE)</f>
        <v>0</v>
      </c>
      <c r="L65" s="83">
        <f t="shared" si="6"/>
        <v>2156.116</v>
      </c>
      <c r="M65" s="247">
        <f>VLOOKUP($H65,Leistungswerte!$A$8:$F$54,$P$2,FALSE)</f>
        <v>0</v>
      </c>
      <c r="N65" s="84">
        <f t="shared" si="7"/>
        <v>0</v>
      </c>
      <c r="O65" s="80">
        <f t="shared" si="8"/>
        <v>0</v>
      </c>
      <c r="P65" s="248">
        <f t="shared" ca="1" si="0"/>
        <v>0</v>
      </c>
      <c r="Q65" s="85">
        <f t="shared" ca="1" si="9"/>
        <v>0</v>
      </c>
      <c r="R65" s="305"/>
    </row>
    <row r="66" spans="1:18" ht="24" customHeight="1" x14ac:dyDescent="0.2">
      <c r="A66" s="81">
        <f t="shared" si="1"/>
        <v>44</v>
      </c>
      <c r="B66" s="82" t="s">
        <v>276</v>
      </c>
      <c r="C66" s="82"/>
      <c r="D66" s="337" t="s">
        <v>248</v>
      </c>
      <c r="E66" s="303" t="s">
        <v>309</v>
      </c>
      <c r="F66" s="82" t="s">
        <v>434</v>
      </c>
      <c r="G66" s="83">
        <v>56.8</v>
      </c>
      <c r="H66" s="304" t="s">
        <v>91</v>
      </c>
      <c r="I66" s="246">
        <f>VLOOKUP($H66,Leistungswerte!$A$8:$E$54,3,FALSE)</f>
        <v>5</v>
      </c>
      <c r="J66" s="246">
        <f>VLOOKUP($H66,Leistungswerte!$A$8:$E$54,4,FALSE)</f>
        <v>0</v>
      </c>
      <c r="K66" s="246">
        <f>VLOOKUP($H66,Leistungswerte!$A$8:$E$54,5,FALSE)</f>
        <v>0</v>
      </c>
      <c r="L66" s="83">
        <f t="shared" si="6"/>
        <v>11019.199999999999</v>
      </c>
      <c r="M66" s="247">
        <f>VLOOKUP($H66,Leistungswerte!$A$8:$F$54,$P$2,FALSE)</f>
        <v>0</v>
      </c>
      <c r="N66" s="84">
        <f t="shared" si="7"/>
        <v>0</v>
      </c>
      <c r="O66" s="80">
        <f t="shared" si="8"/>
        <v>0</v>
      </c>
      <c r="P66" s="248">
        <f t="shared" ca="1" si="0"/>
        <v>0</v>
      </c>
      <c r="Q66" s="85">
        <f t="shared" ca="1" si="9"/>
        <v>0</v>
      </c>
      <c r="R66" s="305"/>
    </row>
    <row r="67" spans="1:18" ht="24" customHeight="1" x14ac:dyDescent="0.2">
      <c r="A67" s="81">
        <f t="shared" si="1"/>
        <v>45</v>
      </c>
      <c r="B67" s="82" t="s">
        <v>292</v>
      </c>
      <c r="C67" s="82"/>
      <c r="D67" s="337"/>
      <c r="E67" s="303" t="s">
        <v>272</v>
      </c>
      <c r="F67" s="82" t="s">
        <v>441</v>
      </c>
      <c r="G67" s="83">
        <v>19.18</v>
      </c>
      <c r="H67" s="245" t="s">
        <v>76</v>
      </c>
      <c r="I67" s="246">
        <f>VLOOKUP($H67,Leistungswerte!$A$8:$E$54,3,FALSE)</f>
        <v>5</v>
      </c>
      <c r="J67" s="246">
        <f>VLOOKUP($H67,Leistungswerte!$A$8:$E$54,4,FALSE)</f>
        <v>0</v>
      </c>
      <c r="K67" s="246">
        <f>VLOOKUP($H67,Leistungswerte!$A$8:$E$54,5,FALSE)</f>
        <v>0</v>
      </c>
      <c r="L67" s="83">
        <f t="shared" si="6"/>
        <v>3720.92</v>
      </c>
      <c r="M67" s="247">
        <f>VLOOKUP($H67,Leistungswerte!$A$8:$F$54,$P$2,FALSE)</f>
        <v>0</v>
      </c>
      <c r="N67" s="84">
        <f t="shared" si="7"/>
        <v>0</v>
      </c>
      <c r="O67" s="80">
        <f t="shared" si="8"/>
        <v>0</v>
      </c>
      <c r="P67" s="248">
        <f t="shared" ca="1" si="0"/>
        <v>0</v>
      </c>
      <c r="Q67" s="85">
        <f t="shared" ca="1" si="9"/>
        <v>0</v>
      </c>
      <c r="R67" s="305"/>
    </row>
    <row r="68" spans="1:18" ht="24" customHeight="1" x14ac:dyDescent="0.2">
      <c r="A68" s="81">
        <f t="shared" si="1"/>
        <v>46</v>
      </c>
      <c r="B68" s="82" t="s">
        <v>291</v>
      </c>
      <c r="C68" s="82"/>
      <c r="D68" s="337"/>
      <c r="E68" s="303" t="s">
        <v>295</v>
      </c>
      <c r="F68" s="82" t="s">
        <v>434</v>
      </c>
      <c r="G68" s="83">
        <v>20.43</v>
      </c>
      <c r="H68" s="245" t="s">
        <v>76</v>
      </c>
      <c r="I68" s="246">
        <f>VLOOKUP($H68,Leistungswerte!$A$8:$E$54,3,FALSE)</f>
        <v>5</v>
      </c>
      <c r="J68" s="246">
        <f>VLOOKUP($H68,Leistungswerte!$A$8:$E$54,4,FALSE)</f>
        <v>0</v>
      </c>
      <c r="K68" s="246">
        <f>VLOOKUP($H68,Leistungswerte!$A$8:$E$54,5,FALSE)</f>
        <v>0</v>
      </c>
      <c r="L68" s="83">
        <f t="shared" si="6"/>
        <v>3963.42</v>
      </c>
      <c r="M68" s="247">
        <f>VLOOKUP($H68,Leistungswerte!$A$8:$F$54,$P$2,FALSE)</f>
        <v>0</v>
      </c>
      <c r="N68" s="84">
        <f t="shared" si="7"/>
        <v>0</v>
      </c>
      <c r="O68" s="80">
        <f t="shared" si="8"/>
        <v>0</v>
      </c>
      <c r="P68" s="248">
        <f t="shared" ca="1" si="0"/>
        <v>0</v>
      </c>
      <c r="Q68" s="85">
        <f t="shared" ca="1" si="9"/>
        <v>0</v>
      </c>
      <c r="R68" s="305"/>
    </row>
    <row r="69" spans="1:18" ht="24" customHeight="1" x14ac:dyDescent="0.2">
      <c r="A69" s="81">
        <f t="shared" si="1"/>
        <v>47</v>
      </c>
      <c r="B69" s="82" t="s">
        <v>291</v>
      </c>
      <c r="C69" s="82"/>
      <c r="D69" s="337">
        <v>30</v>
      </c>
      <c r="E69" s="303" t="s">
        <v>312</v>
      </c>
      <c r="F69" s="82" t="s">
        <v>434</v>
      </c>
      <c r="G69" s="83">
        <v>72.540000000000006</v>
      </c>
      <c r="H69" s="304" t="s">
        <v>144</v>
      </c>
      <c r="I69" s="246">
        <f>VLOOKUP($H69,Leistungswerte!$A$8:$E$54,3,FALSE)</f>
        <v>5</v>
      </c>
      <c r="J69" s="246">
        <f>VLOOKUP($H69,Leistungswerte!$A$8:$E$54,4,FALSE)</f>
        <v>0</v>
      </c>
      <c r="K69" s="246">
        <f>VLOOKUP($H69,Leistungswerte!$A$8:$E$54,5,FALSE)</f>
        <v>0</v>
      </c>
      <c r="L69" s="83">
        <f t="shared" si="6"/>
        <v>14072.760000000002</v>
      </c>
      <c r="M69" s="247">
        <f>VLOOKUP($H69,Leistungswerte!$A$8:$F$54,$P$2,FALSE)</f>
        <v>0</v>
      </c>
      <c r="N69" s="84">
        <f t="shared" si="7"/>
        <v>0</v>
      </c>
      <c r="O69" s="80">
        <f t="shared" si="8"/>
        <v>0</v>
      </c>
      <c r="P69" s="248">
        <f t="shared" ca="1" si="0"/>
        <v>0</v>
      </c>
      <c r="Q69" s="85">
        <f t="shared" ca="1" si="9"/>
        <v>0</v>
      </c>
      <c r="R69" s="305"/>
    </row>
    <row r="70" spans="1:18" ht="24" customHeight="1" x14ac:dyDescent="0.2">
      <c r="A70" s="81">
        <f t="shared" si="1"/>
        <v>48</v>
      </c>
      <c r="B70" s="82" t="s">
        <v>291</v>
      </c>
      <c r="C70" s="82"/>
      <c r="D70" s="337">
        <v>29</v>
      </c>
      <c r="E70" s="303" t="s">
        <v>313</v>
      </c>
      <c r="F70" s="82" t="s">
        <v>434</v>
      </c>
      <c r="G70" s="83">
        <v>34.9</v>
      </c>
      <c r="H70" s="304" t="s">
        <v>142</v>
      </c>
      <c r="I70" s="246">
        <f>VLOOKUP($H70,Leistungswerte!$A$8:$E$54,3,FALSE)</f>
        <v>1</v>
      </c>
      <c r="J70" s="246">
        <f>VLOOKUP($H70,Leistungswerte!$A$8:$E$54,4,FALSE)</f>
        <v>0</v>
      </c>
      <c r="K70" s="246">
        <f>VLOOKUP($H70,Leistungswerte!$A$8:$E$54,5,FALSE)</f>
        <v>0</v>
      </c>
      <c r="L70" s="83">
        <f t="shared" si="6"/>
        <v>1354.12</v>
      </c>
      <c r="M70" s="247">
        <f>VLOOKUP($H70,Leistungswerte!$A$8:$F$54,$P$2,FALSE)</f>
        <v>0</v>
      </c>
      <c r="N70" s="84">
        <f t="shared" si="7"/>
        <v>0</v>
      </c>
      <c r="O70" s="80">
        <f t="shared" si="8"/>
        <v>0</v>
      </c>
      <c r="P70" s="248">
        <f t="shared" ca="1" si="0"/>
        <v>0</v>
      </c>
      <c r="Q70" s="85">
        <f t="shared" ca="1" si="9"/>
        <v>0</v>
      </c>
      <c r="R70" s="305"/>
    </row>
    <row r="71" spans="1:18" ht="24" customHeight="1" x14ac:dyDescent="0.2">
      <c r="A71" s="81">
        <f t="shared" si="1"/>
        <v>49</v>
      </c>
      <c r="B71" s="82"/>
      <c r="C71" s="82"/>
      <c r="D71" s="337"/>
      <c r="E71" s="303" t="s">
        <v>314</v>
      </c>
      <c r="F71" s="82" t="s">
        <v>434</v>
      </c>
      <c r="G71" s="83">
        <v>21.57</v>
      </c>
      <c r="H71" s="304" t="s">
        <v>75</v>
      </c>
      <c r="I71" s="246">
        <f>VLOOKUP($H71,Leistungswerte!$A$8:$E$54,3,FALSE)</f>
        <v>5</v>
      </c>
      <c r="J71" s="246">
        <f>VLOOKUP($H71,Leistungswerte!$A$8:$E$54,4,FALSE)</f>
        <v>0</v>
      </c>
      <c r="K71" s="246">
        <f>VLOOKUP($H71,Leistungswerte!$A$8:$E$54,5,FALSE)</f>
        <v>0</v>
      </c>
      <c r="L71" s="83">
        <f t="shared" si="6"/>
        <v>4184.58</v>
      </c>
      <c r="M71" s="247">
        <f>VLOOKUP($H71,Leistungswerte!$A$8:$F$54,$P$2,FALSE)</f>
        <v>0</v>
      </c>
      <c r="N71" s="84">
        <f t="shared" si="7"/>
        <v>0</v>
      </c>
      <c r="O71" s="80">
        <f t="shared" si="8"/>
        <v>0</v>
      </c>
      <c r="P71" s="248">
        <f t="shared" ca="1" si="0"/>
        <v>0</v>
      </c>
      <c r="Q71" s="85">
        <f t="shared" ca="1" si="9"/>
        <v>0</v>
      </c>
      <c r="R71" s="305"/>
    </row>
    <row r="72" spans="1:18" ht="24" customHeight="1" x14ac:dyDescent="0.2">
      <c r="A72" s="81">
        <f t="shared" si="1"/>
        <v>50</v>
      </c>
      <c r="B72" s="82"/>
      <c r="C72" s="82"/>
      <c r="D72" s="337">
        <v>24</v>
      </c>
      <c r="E72" s="303" t="s">
        <v>281</v>
      </c>
      <c r="F72" s="82" t="s">
        <v>434</v>
      </c>
      <c r="G72" s="83">
        <v>12.45</v>
      </c>
      <c r="H72" s="304" t="s">
        <v>81</v>
      </c>
      <c r="I72" s="246">
        <f>VLOOKUP($H72,Leistungswerte!$A$8:$E$54,3,FALSE)</f>
        <v>0</v>
      </c>
      <c r="J72" s="246">
        <f>VLOOKUP($H72,Leistungswerte!$A$8:$E$54,4,FALSE)</f>
        <v>0</v>
      </c>
      <c r="K72" s="246">
        <f>VLOOKUP($H72,Leistungswerte!$A$8:$E$54,5,FALSE)</f>
        <v>4</v>
      </c>
      <c r="L72" s="83">
        <f t="shared" si="6"/>
        <v>49.8</v>
      </c>
      <c r="M72" s="247">
        <f>VLOOKUP($H72,Leistungswerte!$A$8:$F$54,$P$2,FALSE)</f>
        <v>0</v>
      </c>
      <c r="N72" s="84">
        <f t="shared" si="7"/>
        <v>0</v>
      </c>
      <c r="O72" s="80">
        <f t="shared" si="8"/>
        <v>0</v>
      </c>
      <c r="P72" s="248">
        <f t="shared" ca="1" si="0"/>
        <v>0</v>
      </c>
      <c r="Q72" s="85">
        <f t="shared" ca="1" si="9"/>
        <v>0</v>
      </c>
      <c r="R72" s="305"/>
    </row>
    <row r="73" spans="1:18" ht="24" customHeight="1" x14ac:dyDescent="0.2">
      <c r="A73" s="81">
        <f t="shared" si="1"/>
        <v>51</v>
      </c>
      <c r="B73" s="82"/>
      <c r="C73" s="82"/>
      <c r="D73" s="337"/>
      <c r="E73" s="303" t="s">
        <v>279</v>
      </c>
      <c r="F73" s="82" t="s">
        <v>434</v>
      </c>
      <c r="G73" s="83">
        <v>18.260000000000002</v>
      </c>
      <c r="H73" s="304" t="s">
        <v>81</v>
      </c>
      <c r="I73" s="246">
        <f>VLOOKUP($H73,Leistungswerte!$A$8:$E$54,3,FALSE)</f>
        <v>0</v>
      </c>
      <c r="J73" s="246">
        <f>VLOOKUP($H73,Leistungswerte!$A$8:$E$54,4,FALSE)</f>
        <v>0</v>
      </c>
      <c r="K73" s="246">
        <f>VLOOKUP($H73,Leistungswerte!$A$8:$E$54,5,FALSE)</f>
        <v>4</v>
      </c>
      <c r="L73" s="83">
        <f t="shared" si="6"/>
        <v>73.040000000000006</v>
      </c>
      <c r="M73" s="247">
        <f>VLOOKUP($H73,Leistungswerte!$A$8:$F$54,$P$2,FALSE)</f>
        <v>0</v>
      </c>
      <c r="N73" s="84">
        <f t="shared" si="7"/>
        <v>0</v>
      </c>
      <c r="O73" s="80">
        <f t="shared" si="8"/>
        <v>0</v>
      </c>
      <c r="P73" s="248">
        <f t="shared" ca="1" si="0"/>
        <v>0</v>
      </c>
      <c r="Q73" s="85">
        <f t="shared" ca="1" si="9"/>
        <v>0</v>
      </c>
      <c r="R73" s="305"/>
    </row>
    <row r="74" spans="1:18" ht="24" customHeight="1" x14ac:dyDescent="0.2">
      <c r="A74" s="81">
        <f t="shared" si="1"/>
        <v>52</v>
      </c>
      <c r="B74" s="82"/>
      <c r="C74" s="82"/>
      <c r="D74" s="337"/>
      <c r="E74" s="303" t="s">
        <v>315</v>
      </c>
      <c r="F74" s="82" t="s">
        <v>434</v>
      </c>
      <c r="G74" s="83">
        <v>63.17</v>
      </c>
      <c r="H74" s="304" t="s">
        <v>449</v>
      </c>
      <c r="I74" s="246">
        <f>VLOOKUP($H74,Leistungswerte!$A$8:$E$54,3,FALSE)</f>
        <v>4</v>
      </c>
      <c r="J74" s="246">
        <f>VLOOKUP($H74,Leistungswerte!$A$8:$E$54,4,FALSE)</f>
        <v>0</v>
      </c>
      <c r="K74" s="246">
        <f>VLOOKUP($H74,Leistungswerte!$A$8:$E$54,5,FALSE)</f>
        <v>0</v>
      </c>
      <c r="L74" s="83">
        <f t="shared" si="6"/>
        <v>9803.9840000000004</v>
      </c>
      <c r="M74" s="247">
        <f>VLOOKUP($H74,Leistungswerte!$A$8:$F$54,$P$2,FALSE)</f>
        <v>0</v>
      </c>
      <c r="N74" s="84">
        <f t="shared" si="7"/>
        <v>0</v>
      </c>
      <c r="O74" s="80">
        <f t="shared" si="8"/>
        <v>0</v>
      </c>
      <c r="P74" s="248">
        <f t="shared" ca="1" si="0"/>
        <v>0</v>
      </c>
      <c r="Q74" s="85">
        <f t="shared" ca="1" si="9"/>
        <v>0</v>
      </c>
      <c r="R74" s="305"/>
    </row>
    <row r="75" spans="1:18" ht="24" customHeight="1" thickBot="1" x14ac:dyDescent="0.25">
      <c r="A75" s="81">
        <f t="shared" si="1"/>
        <v>53</v>
      </c>
      <c r="B75" s="82"/>
      <c r="C75" s="82"/>
      <c r="D75" s="151"/>
      <c r="E75" s="82" t="s">
        <v>285</v>
      </c>
      <c r="F75" s="82" t="s">
        <v>434</v>
      </c>
      <c r="G75" s="83">
        <v>12.86</v>
      </c>
      <c r="H75" s="304" t="s">
        <v>90</v>
      </c>
      <c r="I75" s="246">
        <f>VLOOKUP($H75,Leistungswerte!$A$8:$E$54,3,FALSE)</f>
        <v>1</v>
      </c>
      <c r="J75" s="246">
        <f>VLOOKUP($H75,Leistungswerte!$A$8:$E$54,4,FALSE)</f>
        <v>0</v>
      </c>
      <c r="K75" s="246">
        <f>VLOOKUP($H75,Leistungswerte!$A$8:$E$54,5,FALSE)</f>
        <v>0</v>
      </c>
      <c r="L75" s="83">
        <f t="shared" si="6"/>
        <v>498.96799999999996</v>
      </c>
      <c r="M75" s="247">
        <f>VLOOKUP($H75,Leistungswerte!$A$8:$F$54,$P$2,FALSE)</f>
        <v>0</v>
      </c>
      <c r="N75" s="84">
        <f t="shared" si="7"/>
        <v>0</v>
      </c>
      <c r="O75" s="80">
        <f t="shared" si="8"/>
        <v>0</v>
      </c>
      <c r="P75" s="248">
        <f t="shared" ca="1" si="0"/>
        <v>0</v>
      </c>
      <c r="Q75" s="85">
        <f t="shared" ca="1" si="9"/>
        <v>0</v>
      </c>
      <c r="R75" s="306"/>
    </row>
    <row r="76" spans="1:18" ht="3.75" customHeight="1" thickBot="1" x14ac:dyDescent="0.25">
      <c r="A76" s="86"/>
      <c r="B76" s="87"/>
      <c r="C76" s="87"/>
      <c r="D76" s="87"/>
      <c r="E76" s="87"/>
      <c r="F76" s="87"/>
      <c r="G76" s="88"/>
      <c r="H76" s="89"/>
      <c r="I76" s="90"/>
      <c r="J76" s="90"/>
      <c r="K76" s="90"/>
      <c r="L76" s="88"/>
      <c r="M76" s="91"/>
      <c r="N76" s="87"/>
      <c r="O76" s="92"/>
      <c r="P76" s="93"/>
      <c r="Q76" s="94"/>
    </row>
    <row r="77" spans="1:18" s="46" customFormat="1" ht="25.5" customHeight="1" thickBot="1" x14ac:dyDescent="0.25">
      <c r="A77" s="40" t="s">
        <v>47</v>
      </c>
      <c r="B77" s="95"/>
      <c r="C77" s="95"/>
      <c r="D77" s="95"/>
      <c r="E77" s="95"/>
      <c r="F77" s="96"/>
      <c r="G77" s="97">
        <f>SUBTOTAL(9,G23:G76)</f>
        <v>1773.3599999999994</v>
      </c>
      <c r="H77" s="98"/>
      <c r="I77" s="99"/>
      <c r="J77" s="99"/>
      <c r="K77" s="99"/>
      <c r="L77" s="97">
        <f>SUBTOTAL(9,L23:L76)</f>
        <v>252340.54800000013</v>
      </c>
      <c r="M77" s="100" t="e">
        <f>L77/O77</f>
        <v>#DIV/0!</v>
      </c>
      <c r="N77" s="95"/>
      <c r="O77" s="101">
        <f>SUBTOTAL(9,O23:O76)</f>
        <v>0</v>
      </c>
      <c r="P77" s="102"/>
      <c r="Q77" s="220">
        <f ca="1">SUBTOTAL(9,Q23:Q76)</f>
        <v>0</v>
      </c>
      <c r="R77" s="1"/>
    </row>
    <row r="79" spans="1:18" ht="13.5" thickBot="1" x14ac:dyDescent="0.25"/>
    <row r="80" spans="1:18" s="58" customFormat="1" x14ac:dyDescent="0.2">
      <c r="A80" s="50" t="s">
        <v>0</v>
      </c>
      <c r="B80" s="51" t="s">
        <v>40</v>
      </c>
      <c r="C80" s="51"/>
      <c r="D80" s="51" t="s">
        <v>41</v>
      </c>
      <c r="E80" s="52" t="s">
        <v>42</v>
      </c>
      <c r="F80" s="52" t="s">
        <v>24</v>
      </c>
      <c r="G80" s="53" t="s">
        <v>25</v>
      </c>
      <c r="H80" s="52" t="s">
        <v>1</v>
      </c>
      <c r="I80" s="396" t="s">
        <v>26</v>
      </c>
      <c r="J80" s="396"/>
      <c r="K80" s="396"/>
      <c r="L80" s="53" t="s">
        <v>33</v>
      </c>
      <c r="M80" s="54" t="s">
        <v>2</v>
      </c>
      <c r="N80" s="52" t="s">
        <v>15</v>
      </c>
      <c r="O80" s="55" t="s">
        <v>30</v>
      </c>
      <c r="P80" s="56" t="s">
        <v>13</v>
      </c>
      <c r="Q80" s="57" t="s">
        <v>31</v>
      </c>
      <c r="R80" s="1"/>
    </row>
    <row r="81" spans="1:18" s="58" customFormat="1" ht="25.5" customHeight="1" thickBot="1" x14ac:dyDescent="0.25">
      <c r="A81" s="59"/>
      <c r="B81" s="60"/>
      <c r="C81" s="60"/>
      <c r="D81" s="60"/>
      <c r="E81" s="61" t="s">
        <v>43</v>
      </c>
      <c r="F81" s="61"/>
      <c r="G81" s="62" t="s">
        <v>32</v>
      </c>
      <c r="H81" s="61"/>
      <c r="I81" s="63" t="s">
        <v>27</v>
      </c>
      <c r="J81" s="63" t="s">
        <v>28</v>
      </c>
      <c r="K81" s="63" t="s">
        <v>29</v>
      </c>
      <c r="L81" s="62" t="s">
        <v>34</v>
      </c>
      <c r="M81" s="64" t="s">
        <v>35</v>
      </c>
      <c r="N81" s="61" t="s">
        <v>36</v>
      </c>
      <c r="O81" s="65" t="s">
        <v>37</v>
      </c>
      <c r="P81" s="66" t="s">
        <v>38</v>
      </c>
      <c r="Q81" s="67" t="s">
        <v>39</v>
      </c>
      <c r="R81" s="1"/>
    </row>
    <row r="82" spans="1:18" ht="3.75" customHeight="1" x14ac:dyDescent="0.2">
      <c r="A82" s="68" t="s">
        <v>21</v>
      </c>
      <c r="B82" s="69" t="s">
        <v>21</v>
      </c>
      <c r="C82" s="69"/>
      <c r="D82" s="69" t="s">
        <v>21</v>
      </c>
      <c r="E82" s="69" t="s">
        <v>21</v>
      </c>
      <c r="F82" s="69" t="s">
        <v>21</v>
      </c>
      <c r="G82" s="70" t="s">
        <v>21</v>
      </c>
      <c r="H82" s="71" t="s">
        <v>21</v>
      </c>
      <c r="I82" s="72" t="s">
        <v>21</v>
      </c>
      <c r="J82" s="72" t="s">
        <v>21</v>
      </c>
      <c r="K82" s="72" t="s">
        <v>21</v>
      </c>
      <c r="L82" s="70" t="s">
        <v>21</v>
      </c>
      <c r="M82" s="73" t="s">
        <v>21</v>
      </c>
      <c r="N82" s="74" t="s">
        <v>21</v>
      </c>
      <c r="O82" s="75" t="s">
        <v>21</v>
      </c>
      <c r="P82" s="76" t="s">
        <v>21</v>
      </c>
      <c r="Q82" s="77" t="s">
        <v>21</v>
      </c>
    </row>
    <row r="83" spans="1:18" ht="24" customHeight="1" x14ac:dyDescent="0.2">
      <c r="A83" s="81">
        <f>A75+1</f>
        <v>54</v>
      </c>
      <c r="B83" s="82"/>
      <c r="C83" s="82"/>
      <c r="D83" s="82"/>
      <c r="E83" s="82" t="s">
        <v>156</v>
      </c>
      <c r="F83" s="82"/>
      <c r="G83" s="83">
        <f>IF($O$5="JA",SUM(G23:G76),0)</f>
        <v>1773.3599999999994</v>
      </c>
      <c r="H83" s="78" t="s">
        <v>82</v>
      </c>
      <c r="I83" s="79">
        <f>VLOOKUP($H83,Leistungswerte!$A$8:$E$54,3,FALSE)</f>
        <v>0</v>
      </c>
      <c r="J83" s="79">
        <f>VLOOKUP($H83,Leistungswerte!$A$8:$E$54,4,FALSE)</f>
        <v>0</v>
      </c>
      <c r="K83" s="79">
        <f>VLOOKUP($H83,Leistungswerte!$A$8:$E$54,5,FALSE)</f>
        <v>1</v>
      </c>
      <c r="L83" s="83">
        <f>($G$5/$G$6*I83+J83*12+K83)*G83</f>
        <v>1773.3599999999994</v>
      </c>
      <c r="M83" s="163">
        <f>VLOOKUP($H83,Leistungswerte!$A$8:$F$54,$P$2,FALSE)</f>
        <v>0</v>
      </c>
      <c r="N83" s="84">
        <f>IF(M83&lt;&gt;0,G83/M83/24,0)</f>
        <v>0</v>
      </c>
      <c r="O83" s="80">
        <f>IF(M83&lt;&gt;0,L83/M83,0)</f>
        <v>0</v>
      </c>
      <c r="P83" s="162">
        <f ca="1">SVS_GR</f>
        <v>0</v>
      </c>
      <c r="Q83" s="85">
        <f ca="1">O83*P83</f>
        <v>0</v>
      </c>
    </row>
    <row r="84" spans="1:18" ht="3.75" customHeight="1" thickBot="1" x14ac:dyDescent="0.25">
      <c r="A84" s="103"/>
      <c r="B84" s="104"/>
      <c r="C84" s="104"/>
      <c r="D84" s="104"/>
      <c r="E84" s="104"/>
      <c r="F84" s="104"/>
      <c r="G84" s="105"/>
      <c r="H84" s="106"/>
      <c r="I84" s="107"/>
      <c r="J84" s="107"/>
      <c r="K84" s="107"/>
      <c r="L84" s="105"/>
      <c r="M84" s="108"/>
      <c r="N84" s="104"/>
      <c r="O84" s="109"/>
      <c r="P84" s="110"/>
      <c r="Q84" s="111"/>
    </row>
    <row r="85" spans="1:18" s="46" customFormat="1" ht="25.5" customHeight="1" thickBot="1" x14ac:dyDescent="0.25">
      <c r="A85" s="40" t="s">
        <v>58</v>
      </c>
      <c r="B85" s="95"/>
      <c r="C85" s="95"/>
      <c r="D85" s="95"/>
      <c r="E85" s="95"/>
      <c r="F85" s="96"/>
      <c r="G85" s="97">
        <f>SUM(G83:G84)</f>
        <v>1773.3599999999994</v>
      </c>
      <c r="H85" s="98"/>
      <c r="I85" s="99"/>
      <c r="J85" s="99"/>
      <c r="K85" s="99"/>
      <c r="L85" s="97">
        <f>SUM(L83:L84)</f>
        <v>1773.3599999999994</v>
      </c>
      <c r="M85" s="100" t="e">
        <f>L85/O85</f>
        <v>#DIV/0!</v>
      </c>
      <c r="N85" s="95"/>
      <c r="O85" s="101">
        <f>SUM(O83:O84)</f>
        <v>0</v>
      </c>
      <c r="P85" s="102"/>
      <c r="Q85" s="220">
        <f ca="1">SUM(Q83:Q84)</f>
        <v>0</v>
      </c>
      <c r="R85" s="1"/>
    </row>
    <row r="87" spans="1:18" ht="13.5" thickBot="1" x14ac:dyDescent="0.25"/>
    <row r="88" spans="1:18" ht="18" customHeight="1" thickBot="1" x14ac:dyDescent="0.25">
      <c r="E88" s="397" t="s">
        <v>155</v>
      </c>
      <c r="F88" s="398"/>
      <c r="G88" s="398"/>
      <c r="H88" s="398"/>
      <c r="I88" s="398"/>
      <c r="J88" s="398"/>
      <c r="K88" s="398"/>
      <c r="L88" s="398"/>
      <c r="M88" s="398"/>
      <c r="N88" s="398"/>
      <c r="O88" s="399"/>
    </row>
    <row r="89" spans="1:18" ht="18" customHeight="1" x14ac:dyDescent="0.2">
      <c r="E89" s="277" t="s">
        <v>225</v>
      </c>
      <c r="F89" s="400" t="s">
        <v>317</v>
      </c>
      <c r="G89" s="400"/>
      <c r="H89" s="400"/>
      <c r="I89" s="400"/>
      <c r="J89" s="400"/>
      <c r="K89" s="400"/>
      <c r="L89" s="400"/>
      <c r="M89" s="400"/>
      <c r="N89" s="400"/>
      <c r="O89" s="401"/>
    </row>
    <row r="90" spans="1:18" ht="18" customHeight="1" x14ac:dyDescent="0.2">
      <c r="E90" s="275" t="s">
        <v>226</v>
      </c>
      <c r="F90" s="388" t="s">
        <v>482</v>
      </c>
      <c r="G90" s="388"/>
      <c r="H90" s="388"/>
      <c r="I90" s="388"/>
      <c r="J90" s="388"/>
      <c r="K90" s="388"/>
      <c r="L90" s="388"/>
      <c r="M90" s="388"/>
      <c r="N90" s="388"/>
      <c r="O90" s="389"/>
    </row>
    <row r="91" spans="1:18" ht="18" customHeight="1" x14ac:dyDescent="0.2">
      <c r="E91" s="275" t="s">
        <v>227</v>
      </c>
      <c r="F91" s="388" t="s">
        <v>483</v>
      </c>
      <c r="G91" s="388"/>
      <c r="H91" s="388"/>
      <c r="I91" s="388"/>
      <c r="J91" s="388"/>
      <c r="K91" s="388"/>
      <c r="L91" s="388"/>
      <c r="M91" s="388"/>
      <c r="N91" s="388"/>
      <c r="O91" s="389"/>
    </row>
    <row r="92" spans="1:18" ht="18" customHeight="1" x14ac:dyDescent="0.2">
      <c r="E92" s="275" t="s">
        <v>228</v>
      </c>
      <c r="F92" s="388" t="s">
        <v>69</v>
      </c>
      <c r="G92" s="388"/>
      <c r="H92" s="388"/>
      <c r="I92" s="388"/>
      <c r="J92" s="388"/>
      <c r="K92" s="388"/>
      <c r="L92" s="388"/>
      <c r="M92" s="388"/>
      <c r="N92" s="388"/>
      <c r="O92" s="389"/>
    </row>
    <row r="93" spans="1:18" ht="18" customHeight="1" x14ac:dyDescent="0.2">
      <c r="E93" s="275" t="s">
        <v>229</v>
      </c>
      <c r="F93" s="388" t="s">
        <v>484</v>
      </c>
      <c r="G93" s="388"/>
      <c r="H93" s="388"/>
      <c r="I93" s="388"/>
      <c r="J93" s="388"/>
      <c r="K93" s="388"/>
      <c r="L93" s="388"/>
      <c r="M93" s="388"/>
      <c r="N93" s="388"/>
      <c r="O93" s="389"/>
    </row>
    <row r="94" spans="1:18" ht="18" customHeight="1" x14ac:dyDescent="0.2">
      <c r="E94" s="275" t="s">
        <v>230</v>
      </c>
      <c r="F94" s="388" t="s">
        <v>476</v>
      </c>
      <c r="G94" s="388"/>
      <c r="H94" s="388"/>
      <c r="I94" s="388"/>
      <c r="J94" s="388"/>
      <c r="K94" s="388"/>
      <c r="L94" s="388"/>
      <c r="M94" s="388"/>
      <c r="N94" s="388"/>
      <c r="O94" s="389"/>
    </row>
    <row r="95" spans="1:18" ht="18" customHeight="1" thickBot="1" x14ac:dyDescent="0.25">
      <c r="E95" s="276" t="s">
        <v>231</v>
      </c>
      <c r="F95" s="402" t="s">
        <v>475</v>
      </c>
      <c r="G95" s="402"/>
      <c r="H95" s="402"/>
      <c r="I95" s="402"/>
      <c r="J95" s="402"/>
      <c r="K95" s="402"/>
      <c r="L95" s="402"/>
      <c r="M95" s="402"/>
      <c r="N95" s="402"/>
      <c r="O95" s="403"/>
    </row>
  </sheetData>
  <sheetProtection algorithmName="SHA-512" hashValue="mzqwCXqOyFfaaSnvDRegBSud79XaNXxszEG/oTEnB0xT5KVYfSJXaXnOq74HUod5K8bRmGZbHUzrG23PVUFKAw==" saltValue="NvbEXpMPnqmGw4P0JuPojg==" spinCount="100000" sheet="1" autoFilter="0"/>
  <autoFilter ref="A21:Q75" xr:uid="{00000000-0009-0000-0000-000006000000}"/>
  <mergeCells count="12">
    <mergeCell ref="F95:O95"/>
    <mergeCell ref="F91:O91"/>
    <mergeCell ref="F92:O92"/>
    <mergeCell ref="F93:O93"/>
    <mergeCell ref="F94:O94"/>
    <mergeCell ref="F90:O90"/>
    <mergeCell ref="E18:G18"/>
    <mergeCell ref="L18:O18"/>
    <mergeCell ref="I20:K20"/>
    <mergeCell ref="I80:K80"/>
    <mergeCell ref="E88:O88"/>
    <mergeCell ref="F89:O89"/>
  </mergeCells>
  <conditionalFormatting sqref="I23:K75">
    <cfRule type="cellIs" dxfId="25" priority="2" stopIfTrue="1" operator="equal">
      <formula>0</formula>
    </cfRule>
  </conditionalFormatting>
  <conditionalFormatting sqref="O7:O16 I83:K83">
    <cfRule type="cellIs" dxfId="24" priority="3" stopIfTrue="1" operator="equal">
      <formula>0</formula>
    </cfRule>
  </conditionalFormatting>
  <hyperlinks>
    <hyperlink ref="E18:G18" location="Angebotsübersicht!A1" display="Zur Angebotsübersicht" xr:uid="{00000000-0004-0000-0600-000000000000}"/>
    <hyperlink ref="L18:O18" location="Leistungswerte!A1" display="Zu den Leistungswerten" xr:uid="{00000000-0004-0000-0600-000001000000}"/>
  </hyperlinks>
  <printOptions horizontalCentered="1"/>
  <pageMargins left="0.55118110236220474" right="0.35433070866141736" top="0.31496062992125984" bottom="0.51181102362204722" header="0.19685039370078741" footer="0.31496062992125984"/>
  <pageSetup paperSize="9" scale="67" fitToHeight="0" orientation="landscape" r:id="rId1"/>
  <headerFooter alignWithMargins="0">
    <oddFooter>&amp;L&amp;8Ausschreibung Unterhaltsreinigung
&amp;A&amp;R&amp;8© Lean Consulting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59999389629810485"/>
    <pageSetUpPr fitToPage="1"/>
  </sheetPr>
  <dimension ref="A1:R112"/>
  <sheetViews>
    <sheetView zoomScale="90" zoomScaleNormal="90" workbookViewId="0"/>
  </sheetViews>
  <sheetFormatPr baseColWidth="10" defaultColWidth="11.42578125" defaultRowHeight="12.75" x14ac:dyDescent="0.2"/>
  <cols>
    <col min="1" max="1" width="5.140625" style="1" customWidth="1"/>
    <col min="2" max="2" width="6.5703125" style="1" customWidth="1"/>
    <col min="3" max="3" width="10.85546875" style="1" customWidth="1"/>
    <col min="4" max="4" width="7.140625" style="1" customWidth="1"/>
    <col min="5" max="5" width="38.7109375" style="1" customWidth="1"/>
    <col min="6" max="6" width="17.42578125" style="1" customWidth="1"/>
    <col min="7" max="7" width="16.5703125" style="27" bestFit="1" customWidth="1"/>
    <col min="8" max="8" width="7.140625" style="28" customWidth="1"/>
    <col min="9" max="11" width="6.85546875" style="29" customWidth="1"/>
    <col min="12" max="12" width="17.140625" style="27" customWidth="1"/>
    <col min="13" max="13" width="12.85546875" style="30" customWidth="1"/>
    <col min="14" max="14" width="11.42578125" style="1"/>
    <col min="15" max="15" width="18.5703125" style="31" customWidth="1"/>
    <col min="16" max="16" width="11.42578125" style="32"/>
    <col min="17" max="17" width="14.28515625" style="32" customWidth="1"/>
    <col min="18" max="16384" width="11.42578125" style="1"/>
  </cols>
  <sheetData>
    <row r="1" spans="5:17" ht="13.5" thickBot="1" x14ac:dyDescent="0.25"/>
    <row r="2" spans="5:17" s="39" customFormat="1" ht="25.5" customHeight="1" thickBot="1" x14ac:dyDescent="0.25">
      <c r="E2" s="33"/>
      <c r="F2" s="34"/>
      <c r="G2" s="35" t="str">
        <f>IF(Bieter&lt;&gt;"",Bieter,"Bietername fehlt !")</f>
        <v>Bietername fehlt !</v>
      </c>
      <c r="H2" s="164"/>
      <c r="I2" s="36"/>
      <c r="J2" s="36"/>
      <c r="K2" s="36"/>
      <c r="L2" s="33"/>
      <c r="M2" s="34"/>
      <c r="N2" s="37"/>
      <c r="O2" s="35" t="s">
        <v>253</v>
      </c>
      <c r="P2" s="152">
        <v>6</v>
      </c>
      <c r="Q2" s="38"/>
    </row>
    <row r="3" spans="5:17" ht="13.5" thickBot="1" x14ac:dyDescent="0.25"/>
    <row r="4" spans="5:17" s="42" customFormat="1" ht="25.5" customHeight="1" thickBot="1" x14ac:dyDescent="0.25">
      <c r="E4" s="116" t="s">
        <v>55</v>
      </c>
      <c r="F4" s="118"/>
      <c r="G4" s="119"/>
      <c r="H4" s="41"/>
      <c r="K4" s="43"/>
      <c r="L4" s="117" t="s">
        <v>56</v>
      </c>
      <c r="M4" s="138"/>
      <c r="N4" s="138"/>
      <c r="O4" s="139"/>
      <c r="P4" s="44"/>
      <c r="Q4" s="44"/>
    </row>
    <row r="5" spans="5:17" s="42" customFormat="1" ht="18.75" customHeight="1" x14ac:dyDescent="0.2">
      <c r="E5" s="120" t="s">
        <v>45</v>
      </c>
      <c r="F5" s="121"/>
      <c r="G5" s="122">
        <f>RT_Schule</f>
        <v>194</v>
      </c>
      <c r="H5" s="41"/>
      <c r="I5" s="45"/>
      <c r="L5" s="120" t="s">
        <v>60</v>
      </c>
      <c r="M5" s="121"/>
      <c r="N5" s="140"/>
      <c r="O5" s="141" t="s">
        <v>69</v>
      </c>
      <c r="P5" s="44"/>
      <c r="Q5" s="44"/>
    </row>
    <row r="6" spans="5:17" s="42" customFormat="1" ht="18.75" customHeight="1" x14ac:dyDescent="0.2">
      <c r="E6" s="120" t="s">
        <v>46</v>
      </c>
      <c r="F6" s="121"/>
      <c r="G6" s="122">
        <v>5</v>
      </c>
      <c r="H6" s="41"/>
      <c r="I6" s="45"/>
      <c r="L6" s="120"/>
      <c r="M6" s="121"/>
      <c r="N6" s="140"/>
      <c r="O6" s="142"/>
      <c r="P6" s="44"/>
      <c r="Q6" s="44"/>
    </row>
    <row r="7" spans="5:17" s="42" customFormat="1" ht="18.75" customHeight="1" x14ac:dyDescent="0.2">
      <c r="E7" s="120" t="s">
        <v>44</v>
      </c>
      <c r="F7" s="121"/>
      <c r="G7" s="123">
        <f>SUM($G$23:$G$93)</f>
        <v>2236.13</v>
      </c>
      <c r="H7" s="41"/>
      <c r="I7" s="45"/>
      <c r="J7" s="45"/>
      <c r="L7" s="120" t="s">
        <v>44</v>
      </c>
      <c r="M7" s="121"/>
      <c r="N7" s="121"/>
      <c r="O7" s="336">
        <f>IF($O$5="JA",$G$102,0)</f>
        <v>2159.88</v>
      </c>
      <c r="P7" s="44"/>
      <c r="Q7" s="44"/>
    </row>
    <row r="8" spans="5:17" s="42" customFormat="1" ht="18.75" customHeight="1" x14ac:dyDescent="0.2">
      <c r="E8" s="120" t="s">
        <v>48</v>
      </c>
      <c r="F8" s="121"/>
      <c r="G8" s="123">
        <f>SUM($L$23:$L$93)</f>
        <v>377501.88800000004</v>
      </c>
      <c r="H8" s="41"/>
      <c r="I8" s="45"/>
      <c r="J8" s="45"/>
      <c r="L8" s="120" t="s">
        <v>48</v>
      </c>
      <c r="M8" s="121"/>
      <c r="N8" s="121"/>
      <c r="O8" s="336">
        <f>IF($O$5="JA",$L$102,0)</f>
        <v>2159.88</v>
      </c>
      <c r="P8" s="44"/>
      <c r="Q8" s="44"/>
    </row>
    <row r="9" spans="5:17" s="42" customFormat="1" ht="18.75" customHeight="1" x14ac:dyDescent="0.2">
      <c r="E9" s="120" t="s">
        <v>49</v>
      </c>
      <c r="F9" s="121"/>
      <c r="G9" s="124">
        <f>SUM($O$23:$O$93)</f>
        <v>0</v>
      </c>
      <c r="H9" s="41"/>
      <c r="I9" s="45"/>
      <c r="J9" s="45"/>
      <c r="L9" s="120" t="s">
        <v>49</v>
      </c>
      <c r="M9" s="121"/>
      <c r="N9" s="121"/>
      <c r="O9" s="124">
        <f>IF($O$5="JA",$O$102,0)</f>
        <v>0</v>
      </c>
      <c r="P9" s="44"/>
      <c r="Q9" s="44"/>
    </row>
    <row r="10" spans="5:17" s="42" customFormat="1" ht="18.75" customHeight="1" x14ac:dyDescent="0.2">
      <c r="E10" s="120" t="s">
        <v>51</v>
      </c>
      <c r="F10" s="121"/>
      <c r="G10" s="124">
        <f>G9/G5</f>
        <v>0</v>
      </c>
      <c r="H10" s="41"/>
      <c r="I10" s="45"/>
      <c r="J10" s="45"/>
      <c r="L10" s="120"/>
      <c r="M10" s="121"/>
      <c r="N10" s="121"/>
      <c r="O10" s="144"/>
      <c r="P10" s="44"/>
      <c r="Q10" s="44"/>
    </row>
    <row r="11" spans="5:17" s="42" customFormat="1" ht="18.75" customHeight="1" x14ac:dyDescent="0.2">
      <c r="E11" s="120" t="s">
        <v>50</v>
      </c>
      <c r="F11" s="121"/>
      <c r="G11" s="125">
        <f>IF(G9&gt;0,G8/G9,0)</f>
        <v>0</v>
      </c>
      <c r="H11" s="41"/>
      <c r="I11" s="45"/>
      <c r="J11" s="45"/>
      <c r="L11" s="120" t="s">
        <v>50</v>
      </c>
      <c r="M11" s="121"/>
      <c r="N11" s="121"/>
      <c r="O11" s="125" t="e">
        <f>IF($O$5="JA",$O$8/$O$9,0)</f>
        <v>#DIV/0!</v>
      </c>
      <c r="P11" s="44"/>
      <c r="Q11" s="44"/>
    </row>
    <row r="12" spans="5:17" s="42" customFormat="1" ht="18.75" customHeight="1" thickBot="1" x14ac:dyDescent="0.25">
      <c r="E12" s="126" t="s">
        <v>57</v>
      </c>
      <c r="F12" s="127"/>
      <c r="G12" s="128">
        <f>IF(G9&gt;0,G14/G9,0)</f>
        <v>0</v>
      </c>
      <c r="H12" s="41"/>
      <c r="I12" s="45"/>
      <c r="J12" s="45"/>
      <c r="L12" s="126" t="s">
        <v>57</v>
      </c>
      <c r="M12" s="127"/>
      <c r="N12" s="127"/>
      <c r="O12" s="145" t="e">
        <f ca="1">IF($O$5="JA",$O$14/$O$9,0)</f>
        <v>#DIV/0!</v>
      </c>
      <c r="P12" s="44"/>
      <c r="Q12" s="44"/>
    </row>
    <row r="13" spans="5:17" s="42" customFormat="1" ht="6.75" customHeight="1" thickBot="1" x14ac:dyDescent="0.25">
      <c r="E13" s="121"/>
      <c r="F13" s="121"/>
      <c r="G13" s="129"/>
      <c r="H13" s="41"/>
      <c r="I13" s="45"/>
      <c r="J13" s="45"/>
      <c r="L13" s="121"/>
      <c r="M13" s="121"/>
      <c r="N13" s="121"/>
      <c r="O13" s="146"/>
      <c r="P13" s="44"/>
      <c r="Q13" s="44"/>
    </row>
    <row r="14" spans="5:17" s="42" customFormat="1" ht="18.75" customHeight="1" x14ac:dyDescent="0.2">
      <c r="E14" s="130" t="s">
        <v>65</v>
      </c>
      <c r="F14" s="131">
        <f ca="1">G14/G5</f>
        <v>0</v>
      </c>
      <c r="G14" s="132">
        <f ca="1">SUM(Q23:Q93)</f>
        <v>0</v>
      </c>
      <c r="H14" s="41"/>
      <c r="I14" s="45"/>
      <c r="J14" s="45"/>
      <c r="K14" s="46"/>
      <c r="L14" s="130" t="s">
        <v>52</v>
      </c>
      <c r="M14" s="147"/>
      <c r="N14" s="147"/>
      <c r="O14" s="148">
        <f ca="1">IF($O$5="JA",$Q$102,0)</f>
        <v>0</v>
      </c>
      <c r="P14" s="44"/>
      <c r="Q14" s="44"/>
    </row>
    <row r="15" spans="5:17" s="42" customFormat="1" ht="18.75" customHeight="1" x14ac:dyDescent="0.2">
      <c r="E15" s="133" t="s">
        <v>53</v>
      </c>
      <c r="F15" s="129"/>
      <c r="G15" s="134">
        <f ca="1">G14*0.19</f>
        <v>0</v>
      </c>
      <c r="H15" s="41"/>
      <c r="I15" s="45"/>
      <c r="J15" s="45"/>
      <c r="K15" s="46"/>
      <c r="L15" s="133" t="s">
        <v>53</v>
      </c>
      <c r="M15" s="121"/>
      <c r="N15" s="121"/>
      <c r="O15" s="149">
        <f ca="1">IF($O$5="JA",O14*0.19,0)</f>
        <v>0</v>
      </c>
      <c r="P15" s="44"/>
      <c r="Q15" s="44"/>
    </row>
    <row r="16" spans="5:17" s="42" customFormat="1" ht="18.75" customHeight="1" thickBot="1" x14ac:dyDescent="0.25">
      <c r="E16" s="135" t="s">
        <v>54</v>
      </c>
      <c r="F16" s="136"/>
      <c r="G16" s="137">
        <f ca="1">G14+G15</f>
        <v>0</v>
      </c>
      <c r="H16" s="41"/>
      <c r="I16" s="45"/>
      <c r="J16" s="45"/>
      <c r="K16" s="46"/>
      <c r="L16" s="135" t="s">
        <v>54</v>
      </c>
      <c r="M16" s="127"/>
      <c r="N16" s="127"/>
      <c r="O16" s="150">
        <f ca="1">IF(O14&lt;&gt;0,SUM(O14:O15),0)</f>
        <v>0</v>
      </c>
      <c r="P16" s="44"/>
      <c r="Q16" s="44"/>
    </row>
    <row r="17" spans="1:18" ht="6" customHeight="1" thickBot="1" x14ac:dyDescent="0.25">
      <c r="M17" s="1"/>
    </row>
    <row r="18" spans="1:18" ht="18" customHeight="1" thickBot="1" x14ac:dyDescent="0.25">
      <c r="A18" s="46"/>
      <c r="B18" s="46"/>
      <c r="C18" s="46"/>
      <c r="D18" s="46"/>
      <c r="E18" s="390" t="s">
        <v>63</v>
      </c>
      <c r="F18" s="391"/>
      <c r="G18" s="392"/>
      <c r="H18" s="47"/>
      <c r="I18" s="48"/>
      <c r="J18" s="48"/>
      <c r="K18" s="48"/>
      <c r="L18" s="393" t="s">
        <v>62</v>
      </c>
      <c r="M18" s="394"/>
      <c r="N18" s="394"/>
      <c r="O18" s="395"/>
      <c r="P18" s="49"/>
      <c r="Q18" s="49"/>
    </row>
    <row r="19" spans="1:18" ht="6" customHeight="1" thickBot="1" x14ac:dyDescent="0.25"/>
    <row r="20" spans="1:18" s="58" customFormat="1" x14ac:dyDescent="0.2">
      <c r="A20" s="50" t="s">
        <v>0</v>
      </c>
      <c r="B20" s="51" t="s">
        <v>40</v>
      </c>
      <c r="C20" s="51" t="s">
        <v>61</v>
      </c>
      <c r="D20" s="51" t="s">
        <v>41</v>
      </c>
      <c r="E20" s="52" t="s">
        <v>42</v>
      </c>
      <c r="F20" s="52" t="s">
        <v>24</v>
      </c>
      <c r="G20" s="53" t="s">
        <v>25</v>
      </c>
      <c r="H20" s="52" t="s">
        <v>1</v>
      </c>
      <c r="I20" s="396" t="s">
        <v>26</v>
      </c>
      <c r="J20" s="396"/>
      <c r="K20" s="396"/>
      <c r="L20" s="53" t="s">
        <v>33</v>
      </c>
      <c r="M20" s="54" t="s">
        <v>2</v>
      </c>
      <c r="N20" s="52" t="s">
        <v>15</v>
      </c>
      <c r="O20" s="55" t="s">
        <v>30</v>
      </c>
      <c r="P20" s="56" t="s">
        <v>13</v>
      </c>
      <c r="Q20" s="57" t="s">
        <v>31</v>
      </c>
    </row>
    <row r="21" spans="1:18" s="58" customFormat="1" ht="25.5" customHeight="1" thickBot="1" x14ac:dyDescent="0.25">
      <c r="A21" s="18"/>
      <c r="B21" s="19"/>
      <c r="C21" s="19"/>
      <c r="D21" s="19"/>
      <c r="E21" s="20" t="s">
        <v>43</v>
      </c>
      <c r="F21" s="20"/>
      <c r="G21" s="21" t="s">
        <v>32</v>
      </c>
      <c r="H21" s="20"/>
      <c r="I21" s="22" t="s">
        <v>27</v>
      </c>
      <c r="J21" s="22" t="s">
        <v>28</v>
      </c>
      <c r="K21" s="22" t="s">
        <v>29</v>
      </c>
      <c r="L21" s="21" t="s">
        <v>34</v>
      </c>
      <c r="M21" s="23" t="s">
        <v>35</v>
      </c>
      <c r="N21" s="20" t="s">
        <v>36</v>
      </c>
      <c r="O21" s="24" t="s">
        <v>37</v>
      </c>
      <c r="P21" s="25" t="s">
        <v>38</v>
      </c>
      <c r="Q21" s="26" t="s">
        <v>39</v>
      </c>
    </row>
    <row r="22" spans="1:18" ht="3.75" customHeight="1" x14ac:dyDescent="0.2">
      <c r="A22" s="68" t="s">
        <v>21</v>
      </c>
      <c r="B22" s="69" t="s">
        <v>21</v>
      </c>
      <c r="C22" s="69"/>
      <c r="D22" s="69" t="s">
        <v>21</v>
      </c>
      <c r="E22" s="69" t="s">
        <v>21</v>
      </c>
      <c r="F22" s="69" t="s">
        <v>21</v>
      </c>
      <c r="G22" s="70" t="s">
        <v>21</v>
      </c>
      <c r="H22" s="71" t="s">
        <v>21</v>
      </c>
      <c r="I22" s="72" t="s">
        <v>21</v>
      </c>
      <c r="J22" s="72" t="s">
        <v>21</v>
      </c>
      <c r="K22" s="72" t="s">
        <v>21</v>
      </c>
      <c r="L22" s="70" t="s">
        <v>21</v>
      </c>
      <c r="M22" s="73" t="s">
        <v>21</v>
      </c>
      <c r="N22" s="74" t="s">
        <v>21</v>
      </c>
      <c r="O22" s="75" t="s">
        <v>21</v>
      </c>
      <c r="P22" s="76" t="s">
        <v>21</v>
      </c>
      <c r="Q22" s="77" t="s">
        <v>21</v>
      </c>
    </row>
    <row r="23" spans="1:18" ht="24" customHeight="1" x14ac:dyDescent="0.2">
      <c r="A23" s="81">
        <v>1</v>
      </c>
      <c r="B23" s="82" t="s">
        <v>276</v>
      </c>
      <c r="C23" s="82"/>
      <c r="D23" s="151"/>
      <c r="E23" s="82" t="s">
        <v>267</v>
      </c>
      <c r="F23" s="82" t="s">
        <v>434</v>
      </c>
      <c r="G23" s="83">
        <v>26.1</v>
      </c>
      <c r="H23" s="245" t="s">
        <v>84</v>
      </c>
      <c r="I23" s="246">
        <f>VLOOKUP($H23,Leistungswerte!$A$8:$E$54,3,FALSE)</f>
        <v>5</v>
      </c>
      <c r="J23" s="246">
        <f>VLOOKUP($H23,Leistungswerte!$A$8:$E$54,4,FALSE)</f>
        <v>0</v>
      </c>
      <c r="K23" s="246">
        <f>VLOOKUP($H23,Leistungswerte!$A$8:$E$54,5,FALSE)</f>
        <v>0</v>
      </c>
      <c r="L23" s="83">
        <f>($G$5/$G$6*I23+J23*12+K23)*G23</f>
        <v>5063.4000000000005</v>
      </c>
      <c r="M23" s="247">
        <f>VLOOKUP($H23,Leistungswerte!$A$8:$F$54,$P$2,FALSE)</f>
        <v>0</v>
      </c>
      <c r="N23" s="84">
        <f>IF(M23&lt;&gt;0,G23/M23/24,0)</f>
        <v>0</v>
      </c>
      <c r="O23" s="80">
        <f>IF(M23&lt;&gt;0,L23/M23,0)</f>
        <v>0</v>
      </c>
      <c r="P23" s="248">
        <f t="shared" ref="P23:P83" ca="1" si="0">SVS_UR</f>
        <v>0</v>
      </c>
      <c r="Q23" s="85">
        <f ca="1">O23*P23</f>
        <v>0</v>
      </c>
      <c r="R23" s="41"/>
    </row>
    <row r="24" spans="1:18" ht="24" customHeight="1" x14ac:dyDescent="0.2">
      <c r="A24" s="81">
        <f t="shared" ref="A24:A87" si="1">A23+1</f>
        <v>2</v>
      </c>
      <c r="B24" s="82" t="s">
        <v>276</v>
      </c>
      <c r="C24" s="82"/>
      <c r="D24" s="151"/>
      <c r="E24" s="82" t="s">
        <v>268</v>
      </c>
      <c r="F24" s="82" t="s">
        <v>435</v>
      </c>
      <c r="G24" s="83">
        <v>22.36</v>
      </c>
      <c r="H24" s="245" t="s">
        <v>75</v>
      </c>
      <c r="I24" s="246">
        <f>VLOOKUP($H24,Leistungswerte!$A$8:$E$54,3,FALSE)</f>
        <v>5</v>
      </c>
      <c r="J24" s="246">
        <f>VLOOKUP($H24,Leistungswerte!$A$8:$E$54,4,FALSE)</f>
        <v>0</v>
      </c>
      <c r="K24" s="246">
        <f>VLOOKUP($H24,Leistungswerte!$A$8:$E$54,5,FALSE)</f>
        <v>0</v>
      </c>
      <c r="L24" s="83">
        <f t="shared" ref="L24:L30" si="2">($G$5/$G$6*I24+J24*12+K24)*G24</f>
        <v>4337.84</v>
      </c>
      <c r="M24" s="247">
        <f>VLOOKUP($H24,Leistungswerte!$A$8:$F$54,$P$2,FALSE)</f>
        <v>0</v>
      </c>
      <c r="N24" s="84">
        <f t="shared" ref="N24:N30" si="3">IF(M24&lt;&gt;0,G24/M24/24,0)</f>
        <v>0</v>
      </c>
      <c r="O24" s="80">
        <f t="shared" ref="O24:O30" si="4">IF(M24&lt;&gt;0,L24/M24,0)</f>
        <v>0</v>
      </c>
      <c r="P24" s="248">
        <f t="shared" ca="1" si="0"/>
        <v>0</v>
      </c>
      <c r="Q24" s="85">
        <f t="shared" ref="Q24:Q30" ca="1" si="5">O24*P24</f>
        <v>0</v>
      </c>
      <c r="R24" s="41"/>
    </row>
    <row r="25" spans="1:18" ht="24" customHeight="1" x14ac:dyDescent="0.2">
      <c r="A25" s="81">
        <f t="shared" si="1"/>
        <v>3</v>
      </c>
      <c r="B25" s="82" t="s">
        <v>276</v>
      </c>
      <c r="C25" s="82"/>
      <c r="D25" s="151"/>
      <c r="E25" s="82" t="s">
        <v>298</v>
      </c>
      <c r="F25" s="82" t="s">
        <v>434</v>
      </c>
      <c r="G25" s="83">
        <v>11.49</v>
      </c>
      <c r="H25" s="245" t="s">
        <v>73</v>
      </c>
      <c r="I25" s="246">
        <f>VLOOKUP($H25,Leistungswerte!$A$8:$E$54,3,FALSE)</f>
        <v>1</v>
      </c>
      <c r="J25" s="246">
        <f>VLOOKUP($H25,Leistungswerte!$A$8:$E$54,4,FALSE)</f>
        <v>0</v>
      </c>
      <c r="K25" s="246">
        <f>VLOOKUP($H25,Leistungswerte!$A$8:$E$54,5,FALSE)</f>
        <v>0</v>
      </c>
      <c r="L25" s="83">
        <f t="shared" si="2"/>
        <v>445.81199999999995</v>
      </c>
      <c r="M25" s="247">
        <f>VLOOKUP($H25,Leistungswerte!$A$8:$F$54,$P$2,FALSE)</f>
        <v>0</v>
      </c>
      <c r="N25" s="84">
        <f t="shared" si="3"/>
        <v>0</v>
      </c>
      <c r="O25" s="80">
        <f t="shared" si="4"/>
        <v>0</v>
      </c>
      <c r="P25" s="248">
        <f t="shared" ca="1" si="0"/>
        <v>0</v>
      </c>
      <c r="Q25" s="85">
        <f t="shared" ca="1" si="5"/>
        <v>0</v>
      </c>
      <c r="R25" s="41"/>
    </row>
    <row r="26" spans="1:18" ht="24" customHeight="1" x14ac:dyDescent="0.2">
      <c r="A26" s="81">
        <f t="shared" si="1"/>
        <v>4</v>
      </c>
      <c r="B26" s="82" t="s">
        <v>276</v>
      </c>
      <c r="C26" s="82"/>
      <c r="D26" s="151">
        <v>18</v>
      </c>
      <c r="E26" s="82" t="s">
        <v>323</v>
      </c>
      <c r="F26" s="82" t="s">
        <v>435</v>
      </c>
      <c r="G26" s="83">
        <v>7.04</v>
      </c>
      <c r="H26" s="245" t="s">
        <v>73</v>
      </c>
      <c r="I26" s="246">
        <f>VLOOKUP($H26,Leistungswerte!$A$8:$E$54,3,FALSE)</f>
        <v>1</v>
      </c>
      <c r="J26" s="246">
        <f>VLOOKUP($H26,Leistungswerte!$A$8:$E$54,4,FALSE)</f>
        <v>0</v>
      </c>
      <c r="K26" s="246">
        <f>VLOOKUP($H26,Leistungswerte!$A$8:$E$54,5,FALSE)</f>
        <v>0</v>
      </c>
      <c r="L26" s="83">
        <f>($G$5/$G$6*I26+J26*12+K26)*G26</f>
        <v>273.15199999999999</v>
      </c>
      <c r="M26" s="247">
        <f>VLOOKUP($H26,Leistungswerte!$A$8:$F$54,$P$2,FALSE)</f>
        <v>0</v>
      </c>
      <c r="N26" s="84">
        <f>IF(M26&lt;&gt;0,G26/M26/24,0)</f>
        <v>0</v>
      </c>
      <c r="O26" s="80">
        <f>IF(M26&lt;&gt;0,L26/M26,0)</f>
        <v>0</v>
      </c>
      <c r="P26" s="248">
        <f t="shared" ca="1" si="0"/>
        <v>0</v>
      </c>
      <c r="Q26" s="85">
        <f ca="1">O26*P26</f>
        <v>0</v>
      </c>
      <c r="R26" s="41"/>
    </row>
    <row r="27" spans="1:18" ht="24" customHeight="1" x14ac:dyDescent="0.2">
      <c r="A27" s="81">
        <f t="shared" si="1"/>
        <v>5</v>
      </c>
      <c r="B27" s="82" t="s">
        <v>276</v>
      </c>
      <c r="C27" s="82"/>
      <c r="D27" s="151">
        <v>23</v>
      </c>
      <c r="E27" s="82" t="s">
        <v>324</v>
      </c>
      <c r="F27" s="82" t="s">
        <v>436</v>
      </c>
      <c r="G27" s="83">
        <v>2.2999999999999998</v>
      </c>
      <c r="H27" s="245" t="s">
        <v>90</v>
      </c>
      <c r="I27" s="246">
        <f>VLOOKUP($H27,Leistungswerte!$A$8:$E$54,3,FALSE)</f>
        <v>1</v>
      </c>
      <c r="J27" s="246">
        <f>VLOOKUP($H27,Leistungswerte!$A$8:$E$54,4,FALSE)</f>
        <v>0</v>
      </c>
      <c r="K27" s="246">
        <f>VLOOKUP($H27,Leistungswerte!$A$8:$E$54,5,FALSE)</f>
        <v>0</v>
      </c>
      <c r="L27" s="83">
        <f>($G$5/$G$6*I27+J27*12+K27)*G27</f>
        <v>89.239999999999981</v>
      </c>
      <c r="M27" s="247">
        <f>VLOOKUP($H27,Leistungswerte!$A$8:$F$54,$P$2,FALSE)</f>
        <v>0</v>
      </c>
      <c r="N27" s="84">
        <f>IF(M27&lt;&gt;0,G27/M27/24,0)</f>
        <v>0</v>
      </c>
      <c r="O27" s="80">
        <f>IF(M27&lt;&gt;0,L27/M27,0)</f>
        <v>0</v>
      </c>
      <c r="P27" s="248">
        <f t="shared" ca="1" si="0"/>
        <v>0</v>
      </c>
      <c r="Q27" s="85">
        <f ca="1">O27*P27</f>
        <v>0</v>
      </c>
      <c r="R27" s="41"/>
    </row>
    <row r="28" spans="1:18" ht="24" customHeight="1" x14ac:dyDescent="0.2">
      <c r="A28" s="81">
        <f t="shared" si="1"/>
        <v>6</v>
      </c>
      <c r="B28" s="82" t="s">
        <v>276</v>
      </c>
      <c r="C28" s="82"/>
      <c r="D28" s="151">
        <v>24</v>
      </c>
      <c r="E28" s="82" t="s">
        <v>302</v>
      </c>
      <c r="F28" s="82" t="s">
        <v>436</v>
      </c>
      <c r="G28" s="83">
        <v>6.98</v>
      </c>
      <c r="H28" s="245" t="s">
        <v>79</v>
      </c>
      <c r="I28" s="246">
        <f>VLOOKUP($H28,Leistungswerte!$A$8:$E$54,3,FALSE)</f>
        <v>5</v>
      </c>
      <c r="J28" s="246">
        <f>VLOOKUP($H28,Leistungswerte!$A$8:$E$54,4,FALSE)</f>
        <v>0</v>
      </c>
      <c r="K28" s="246">
        <f>VLOOKUP($H28,Leistungswerte!$A$8:$E$54,5,FALSE)</f>
        <v>0</v>
      </c>
      <c r="L28" s="83">
        <f>($G$5/$G$6*I28+J28*12+K28)*G28</f>
        <v>1354.1200000000001</v>
      </c>
      <c r="M28" s="247">
        <f>VLOOKUP($H28,Leistungswerte!$A$8:$F$54,$P$2,FALSE)</f>
        <v>0</v>
      </c>
      <c r="N28" s="84">
        <f>IF(M28&lt;&gt;0,G28/M28/24,0)</f>
        <v>0</v>
      </c>
      <c r="O28" s="80">
        <f>IF(M28&lt;&gt;0,L28/M28,0)</f>
        <v>0</v>
      </c>
      <c r="P28" s="248">
        <f t="shared" ca="1" si="0"/>
        <v>0</v>
      </c>
      <c r="Q28" s="85">
        <f ca="1">O28*P28</f>
        <v>0</v>
      </c>
      <c r="R28" s="41"/>
    </row>
    <row r="29" spans="1:18" ht="24" customHeight="1" x14ac:dyDescent="0.2">
      <c r="A29" s="81">
        <f t="shared" si="1"/>
        <v>7</v>
      </c>
      <c r="B29" s="82" t="s">
        <v>276</v>
      </c>
      <c r="C29" s="82"/>
      <c r="D29" s="151">
        <v>25</v>
      </c>
      <c r="E29" s="82" t="s">
        <v>325</v>
      </c>
      <c r="F29" s="82" t="s">
        <v>436</v>
      </c>
      <c r="G29" s="83">
        <v>9.0399999999999991</v>
      </c>
      <c r="H29" s="245" t="s">
        <v>79</v>
      </c>
      <c r="I29" s="246">
        <f>VLOOKUP($H29,Leistungswerte!$A$8:$E$54,3,FALSE)</f>
        <v>5</v>
      </c>
      <c r="J29" s="246">
        <f>VLOOKUP($H29,Leistungswerte!$A$8:$E$54,4,FALSE)</f>
        <v>0</v>
      </c>
      <c r="K29" s="246">
        <f>VLOOKUP($H29,Leistungswerte!$A$8:$E$54,5,FALSE)</f>
        <v>0</v>
      </c>
      <c r="L29" s="83">
        <f>($G$5/$G$6*I29+J29*12+K29)*G29</f>
        <v>1753.7599999999998</v>
      </c>
      <c r="M29" s="247">
        <f>VLOOKUP($H29,Leistungswerte!$A$8:$F$54,$P$2,FALSE)</f>
        <v>0</v>
      </c>
      <c r="N29" s="84">
        <f>IF(M29&lt;&gt;0,G29/M29/24,0)</f>
        <v>0</v>
      </c>
      <c r="O29" s="80">
        <f>IF(M29&lt;&gt;0,L29/M29,0)</f>
        <v>0</v>
      </c>
      <c r="P29" s="248">
        <f t="shared" ca="1" si="0"/>
        <v>0</v>
      </c>
      <c r="Q29" s="85">
        <f ca="1">O29*P29</f>
        <v>0</v>
      </c>
      <c r="R29" s="41"/>
    </row>
    <row r="30" spans="1:18" ht="24" customHeight="1" x14ac:dyDescent="0.2">
      <c r="A30" s="81">
        <f t="shared" si="1"/>
        <v>8</v>
      </c>
      <c r="B30" s="82" t="s">
        <v>276</v>
      </c>
      <c r="C30" s="82"/>
      <c r="D30" s="151">
        <v>19</v>
      </c>
      <c r="E30" s="303" t="s">
        <v>542</v>
      </c>
      <c r="F30" s="82" t="s">
        <v>435</v>
      </c>
      <c r="G30" s="83">
        <v>9.0299999999999994</v>
      </c>
      <c r="H30" s="245" t="s">
        <v>73</v>
      </c>
      <c r="I30" s="246">
        <f>VLOOKUP($H30,Leistungswerte!$A$8:$E$54,3,FALSE)</f>
        <v>1</v>
      </c>
      <c r="J30" s="246">
        <f>VLOOKUP($H30,Leistungswerte!$A$8:$E$54,4,FALSE)</f>
        <v>0</v>
      </c>
      <c r="K30" s="246">
        <f>VLOOKUP($H30,Leistungswerte!$A$8:$E$54,5,FALSE)</f>
        <v>0</v>
      </c>
      <c r="L30" s="83">
        <f t="shared" si="2"/>
        <v>350.36399999999998</v>
      </c>
      <c r="M30" s="247">
        <f>VLOOKUP($H30,Leistungswerte!$A$8:$F$54,$P$2,FALSE)</f>
        <v>0</v>
      </c>
      <c r="N30" s="84">
        <f t="shared" si="3"/>
        <v>0</v>
      </c>
      <c r="O30" s="80">
        <f t="shared" si="4"/>
        <v>0</v>
      </c>
      <c r="P30" s="248">
        <f t="shared" ca="1" si="0"/>
        <v>0</v>
      </c>
      <c r="Q30" s="85">
        <f t="shared" ca="1" si="5"/>
        <v>0</v>
      </c>
      <c r="R30" s="41"/>
    </row>
    <row r="31" spans="1:18" ht="24" customHeight="1" x14ac:dyDescent="0.2">
      <c r="A31" s="81">
        <f t="shared" si="1"/>
        <v>9</v>
      </c>
      <c r="B31" s="82" t="s">
        <v>276</v>
      </c>
      <c r="C31" s="82"/>
      <c r="D31" s="151">
        <v>20</v>
      </c>
      <c r="E31" s="82" t="s">
        <v>305</v>
      </c>
      <c r="F31" s="82" t="s">
        <v>435</v>
      </c>
      <c r="G31" s="83">
        <v>14.4</v>
      </c>
      <c r="H31" s="245" t="s">
        <v>73</v>
      </c>
      <c r="I31" s="246">
        <f>VLOOKUP($H31,Leistungswerte!$A$8:$E$54,3,FALSE)</f>
        <v>1</v>
      </c>
      <c r="J31" s="246">
        <f>VLOOKUP($H31,Leistungswerte!$A$8:$E$54,4,FALSE)</f>
        <v>0</v>
      </c>
      <c r="K31" s="246">
        <f>VLOOKUP($H31,Leistungswerte!$A$8:$E$54,5,FALSE)</f>
        <v>0</v>
      </c>
      <c r="L31" s="83">
        <f>($G$5/$G$6*I31+J31*12+K31)*G31</f>
        <v>558.72</v>
      </c>
      <c r="M31" s="247">
        <f>VLOOKUP($H31,Leistungswerte!$A$8:$F$54,$P$2,FALSE)</f>
        <v>0</v>
      </c>
      <c r="N31" s="84">
        <f>IF(M31&lt;&gt;0,G31/M31/24,0)</f>
        <v>0</v>
      </c>
      <c r="O31" s="80">
        <f>IF(M31&lt;&gt;0,L31/M31,0)</f>
        <v>0</v>
      </c>
      <c r="P31" s="248">
        <f t="shared" ca="1" si="0"/>
        <v>0</v>
      </c>
      <c r="Q31" s="85">
        <f ca="1">O31*P31</f>
        <v>0</v>
      </c>
      <c r="R31" s="41"/>
    </row>
    <row r="32" spans="1:18" ht="24" customHeight="1" x14ac:dyDescent="0.2">
      <c r="A32" s="81">
        <f t="shared" si="1"/>
        <v>10</v>
      </c>
      <c r="B32" s="82" t="s">
        <v>276</v>
      </c>
      <c r="C32" s="82"/>
      <c r="D32" s="151">
        <v>21</v>
      </c>
      <c r="E32" s="82" t="s">
        <v>326</v>
      </c>
      <c r="F32" s="82" t="s">
        <v>435</v>
      </c>
      <c r="G32" s="83">
        <v>19.7</v>
      </c>
      <c r="H32" s="245" t="s">
        <v>73</v>
      </c>
      <c r="I32" s="246">
        <f>VLOOKUP($H32,Leistungswerte!$A$8:$E$54,3,FALSE)</f>
        <v>1</v>
      </c>
      <c r="J32" s="246">
        <f>VLOOKUP($H32,Leistungswerte!$A$8:$E$54,4,FALSE)</f>
        <v>0</v>
      </c>
      <c r="K32" s="246">
        <f>VLOOKUP($H32,Leistungswerte!$A$8:$E$54,5,FALSE)</f>
        <v>0</v>
      </c>
      <c r="L32" s="83">
        <f>($G$5/$G$6*I32+J32*12+K32)*G32</f>
        <v>764.3599999999999</v>
      </c>
      <c r="M32" s="247">
        <f>VLOOKUP($H32,Leistungswerte!$A$8:$F$54,$P$2,FALSE)</f>
        <v>0</v>
      </c>
      <c r="N32" s="84">
        <f>IF(M32&lt;&gt;0,G32/M32/24,0)</f>
        <v>0</v>
      </c>
      <c r="O32" s="80">
        <f>IF(M32&lt;&gt;0,L32/M32,0)</f>
        <v>0</v>
      </c>
      <c r="P32" s="248">
        <f t="shared" ca="1" si="0"/>
        <v>0</v>
      </c>
      <c r="Q32" s="85">
        <f ca="1">O32*P32</f>
        <v>0</v>
      </c>
      <c r="R32" s="41"/>
    </row>
    <row r="33" spans="1:18" ht="24" customHeight="1" x14ac:dyDescent="0.2">
      <c r="A33" s="81">
        <f t="shared" si="1"/>
        <v>11</v>
      </c>
      <c r="B33" s="82" t="s">
        <v>276</v>
      </c>
      <c r="C33" s="82"/>
      <c r="D33" s="151"/>
      <c r="E33" s="82" t="s">
        <v>268</v>
      </c>
      <c r="F33" s="82" t="s">
        <v>435</v>
      </c>
      <c r="G33" s="83">
        <v>13.81</v>
      </c>
      <c r="H33" s="245" t="s">
        <v>75</v>
      </c>
      <c r="I33" s="246">
        <f>VLOOKUP($H33,Leistungswerte!$A$8:$E$54,3,FALSE)</f>
        <v>5</v>
      </c>
      <c r="J33" s="246">
        <f>VLOOKUP($H33,Leistungswerte!$A$8:$E$54,4,FALSE)</f>
        <v>0</v>
      </c>
      <c r="K33" s="246">
        <f>VLOOKUP($H33,Leistungswerte!$A$8:$E$54,5,FALSE)</f>
        <v>0</v>
      </c>
      <c r="L33" s="83">
        <f>($G$5/$G$6*I33+J33*12+K33)*G33</f>
        <v>2679.14</v>
      </c>
      <c r="M33" s="247">
        <f>VLOOKUP($H33,Leistungswerte!$A$8:$F$54,$P$2,FALSE)</f>
        <v>0</v>
      </c>
      <c r="N33" s="84">
        <f>IF(M33&lt;&gt;0,G33/M33/24,0)</f>
        <v>0</v>
      </c>
      <c r="O33" s="80">
        <f>IF(M33&lt;&gt;0,L33/M33,0)</f>
        <v>0</v>
      </c>
      <c r="P33" s="248">
        <f t="shared" ca="1" si="0"/>
        <v>0</v>
      </c>
      <c r="Q33" s="85">
        <f ca="1">O33*P33</f>
        <v>0</v>
      </c>
      <c r="R33" s="41"/>
    </row>
    <row r="34" spans="1:18" ht="24" customHeight="1" x14ac:dyDescent="0.2">
      <c r="A34" s="81">
        <f t="shared" si="1"/>
        <v>12</v>
      </c>
      <c r="B34" s="82" t="s">
        <v>276</v>
      </c>
      <c r="C34" s="82"/>
      <c r="D34" s="151"/>
      <c r="E34" s="82" t="s">
        <v>327</v>
      </c>
      <c r="F34" s="82" t="s">
        <v>435</v>
      </c>
      <c r="G34" s="83">
        <v>13.67</v>
      </c>
      <c r="H34" s="245" t="s">
        <v>73</v>
      </c>
      <c r="I34" s="246">
        <f>VLOOKUP($H34,Leistungswerte!$A$8:$E$54,3,FALSE)</f>
        <v>1</v>
      </c>
      <c r="J34" s="246">
        <f>VLOOKUP($H34,Leistungswerte!$A$8:$E$54,4,FALSE)</f>
        <v>0</v>
      </c>
      <c r="K34" s="246">
        <f>VLOOKUP($H34,Leistungswerte!$A$8:$E$54,5,FALSE)</f>
        <v>0</v>
      </c>
      <c r="L34" s="83">
        <f>($G$5/$G$6*I34+J34*12+K34)*G34</f>
        <v>530.39599999999996</v>
      </c>
      <c r="M34" s="247">
        <f>VLOOKUP($H34,Leistungswerte!$A$8:$F$54,$P$2,FALSE)</f>
        <v>0</v>
      </c>
      <c r="N34" s="84">
        <f>IF(M34&lt;&gt;0,G34/M34/24,0)</f>
        <v>0</v>
      </c>
      <c r="O34" s="80">
        <f>IF(M34&lt;&gt;0,L34/M34,0)</f>
        <v>0</v>
      </c>
      <c r="P34" s="248">
        <f t="shared" ca="1" si="0"/>
        <v>0</v>
      </c>
      <c r="Q34" s="85">
        <f ca="1">O34*P34</f>
        <v>0</v>
      </c>
      <c r="R34" s="41"/>
    </row>
    <row r="35" spans="1:18" ht="24" customHeight="1" x14ac:dyDescent="0.2">
      <c r="A35" s="81">
        <f t="shared" si="1"/>
        <v>13</v>
      </c>
      <c r="B35" s="82" t="s">
        <v>276</v>
      </c>
      <c r="C35" s="82"/>
      <c r="D35" s="151"/>
      <c r="E35" s="82" t="s">
        <v>303</v>
      </c>
      <c r="F35" s="82" t="s">
        <v>435</v>
      </c>
      <c r="G35" s="83">
        <v>5.38</v>
      </c>
      <c r="H35" s="245" t="s">
        <v>73</v>
      </c>
      <c r="I35" s="246">
        <f>VLOOKUP($H35,Leistungswerte!$A$8:$E$54,3,FALSE)</f>
        <v>1</v>
      </c>
      <c r="J35" s="246">
        <f>VLOOKUP($H35,Leistungswerte!$A$8:$E$54,4,FALSE)</f>
        <v>0</v>
      </c>
      <c r="K35" s="246">
        <f>VLOOKUP($H35,Leistungswerte!$A$8:$E$54,5,FALSE)</f>
        <v>0</v>
      </c>
      <c r="L35" s="83">
        <f>($G$5/$G$6*I35+J35*12+K35)*G35</f>
        <v>208.74399999999997</v>
      </c>
      <c r="M35" s="247">
        <f>VLOOKUP($H35,Leistungswerte!$A$8:$F$54,$P$2,FALSE)</f>
        <v>0</v>
      </c>
      <c r="N35" s="84">
        <f>IF(M35&lt;&gt;0,G35/M35/24,0)</f>
        <v>0</v>
      </c>
      <c r="O35" s="80">
        <f>IF(M35&lt;&gt;0,L35/M35,0)</f>
        <v>0</v>
      </c>
      <c r="P35" s="248">
        <f t="shared" ca="1" si="0"/>
        <v>0</v>
      </c>
      <c r="Q35" s="85">
        <f ca="1">O35*P35</f>
        <v>0</v>
      </c>
      <c r="R35" s="41"/>
    </row>
    <row r="36" spans="1:18" ht="24" customHeight="1" x14ac:dyDescent="0.2">
      <c r="A36" s="81">
        <f t="shared" si="1"/>
        <v>14</v>
      </c>
      <c r="B36" s="82" t="s">
        <v>276</v>
      </c>
      <c r="C36" s="82"/>
      <c r="D36" s="151"/>
      <c r="E36" s="82" t="s">
        <v>304</v>
      </c>
      <c r="F36" s="82" t="s">
        <v>435</v>
      </c>
      <c r="G36" s="83">
        <v>64.13</v>
      </c>
      <c r="H36" s="245" t="s">
        <v>73</v>
      </c>
      <c r="I36" s="246">
        <f>VLOOKUP($H36,Leistungswerte!$A$8:$E$54,3,FALSE)</f>
        <v>1</v>
      </c>
      <c r="J36" s="246">
        <f>VLOOKUP($H36,Leistungswerte!$A$8:$E$54,4,FALSE)</f>
        <v>0</v>
      </c>
      <c r="K36" s="246">
        <f>VLOOKUP($H36,Leistungswerte!$A$8:$E$54,5,FALSE)</f>
        <v>0</v>
      </c>
      <c r="L36" s="83">
        <f t="shared" ref="L36:L83" si="6">($G$5/$G$6*I36+J36*12+K36)*G36</f>
        <v>2488.2439999999997</v>
      </c>
      <c r="M36" s="247">
        <f>VLOOKUP($H36,Leistungswerte!$A$8:$F$54,$P$2,FALSE)</f>
        <v>0</v>
      </c>
      <c r="N36" s="84">
        <f t="shared" ref="N36:N83" si="7">IF(M36&lt;&gt;0,G36/M36/24,0)</f>
        <v>0</v>
      </c>
      <c r="O36" s="80">
        <f t="shared" ref="O36:O83" si="8">IF(M36&lt;&gt;0,L36/M36,0)</f>
        <v>0</v>
      </c>
      <c r="P36" s="248">
        <f t="shared" ca="1" si="0"/>
        <v>0</v>
      </c>
      <c r="Q36" s="85">
        <f t="shared" ref="Q36:Q92" ca="1" si="9">O36*P36</f>
        <v>0</v>
      </c>
      <c r="R36" s="41"/>
    </row>
    <row r="37" spans="1:18" ht="24" customHeight="1" x14ac:dyDescent="0.2">
      <c r="A37" s="81">
        <f t="shared" si="1"/>
        <v>15</v>
      </c>
      <c r="B37" s="82" t="s">
        <v>276</v>
      </c>
      <c r="C37" s="82"/>
      <c r="D37" s="151"/>
      <c r="E37" s="82" t="s">
        <v>284</v>
      </c>
      <c r="F37" s="82" t="s">
        <v>434</v>
      </c>
      <c r="G37" s="83">
        <v>5.74</v>
      </c>
      <c r="H37" s="245" t="s">
        <v>80</v>
      </c>
      <c r="I37" s="246">
        <f>VLOOKUP($H37,Leistungswerte!$A$8:$E$54,3,FALSE)</f>
        <v>5</v>
      </c>
      <c r="J37" s="246">
        <f>VLOOKUP($H37,Leistungswerte!$A$8:$E$54,4,FALSE)</f>
        <v>0</v>
      </c>
      <c r="K37" s="246">
        <f>VLOOKUP($H37,Leistungswerte!$A$8:$E$54,5,FALSE)</f>
        <v>0</v>
      </c>
      <c r="L37" s="83">
        <f t="shared" si="6"/>
        <v>1113.56</v>
      </c>
      <c r="M37" s="247">
        <f>VLOOKUP($H37,Leistungswerte!$A$8:$F$54,$P$2,FALSE)</f>
        <v>0</v>
      </c>
      <c r="N37" s="84">
        <f t="shared" si="7"/>
        <v>0</v>
      </c>
      <c r="O37" s="80">
        <f t="shared" si="8"/>
        <v>0</v>
      </c>
      <c r="P37" s="248">
        <f t="shared" ca="1" si="0"/>
        <v>0</v>
      </c>
      <c r="Q37" s="85">
        <f t="shared" ca="1" si="9"/>
        <v>0</v>
      </c>
      <c r="R37" s="41"/>
    </row>
    <row r="38" spans="1:18" ht="24" customHeight="1" x14ac:dyDescent="0.2">
      <c r="A38" s="81">
        <f t="shared" si="1"/>
        <v>16</v>
      </c>
      <c r="B38" s="82" t="s">
        <v>276</v>
      </c>
      <c r="C38" s="82"/>
      <c r="D38" s="151"/>
      <c r="E38" s="82" t="s">
        <v>328</v>
      </c>
      <c r="F38" s="82" t="s">
        <v>434</v>
      </c>
      <c r="G38" s="83">
        <v>43.4</v>
      </c>
      <c r="H38" s="245" t="s">
        <v>75</v>
      </c>
      <c r="I38" s="246">
        <f>VLOOKUP($H38,Leistungswerte!$A$8:$E$54,3,FALSE)</f>
        <v>5</v>
      </c>
      <c r="J38" s="246">
        <f>VLOOKUP($H38,Leistungswerte!$A$8:$E$54,4,FALSE)</f>
        <v>0</v>
      </c>
      <c r="K38" s="246">
        <f>VLOOKUP($H38,Leistungswerte!$A$8:$E$54,5,FALSE)</f>
        <v>0</v>
      </c>
      <c r="L38" s="83">
        <f t="shared" si="6"/>
        <v>8419.6</v>
      </c>
      <c r="M38" s="247">
        <f>VLOOKUP($H38,Leistungswerte!$A$8:$F$54,$P$2,FALSE)</f>
        <v>0</v>
      </c>
      <c r="N38" s="84">
        <f t="shared" si="7"/>
        <v>0</v>
      </c>
      <c r="O38" s="80">
        <f t="shared" si="8"/>
        <v>0</v>
      </c>
      <c r="P38" s="248">
        <f t="shared" ca="1" si="0"/>
        <v>0</v>
      </c>
      <c r="Q38" s="85">
        <f t="shared" ca="1" si="9"/>
        <v>0</v>
      </c>
      <c r="R38" s="41"/>
    </row>
    <row r="39" spans="1:18" ht="24" customHeight="1" x14ac:dyDescent="0.2">
      <c r="A39" s="81">
        <f t="shared" si="1"/>
        <v>17</v>
      </c>
      <c r="B39" s="82" t="s">
        <v>276</v>
      </c>
      <c r="C39" s="82"/>
      <c r="D39" s="151"/>
      <c r="E39" s="82" t="s">
        <v>329</v>
      </c>
      <c r="F39" s="82" t="s">
        <v>434</v>
      </c>
      <c r="G39" s="83">
        <v>122.74</v>
      </c>
      <c r="H39" s="245" t="s">
        <v>75</v>
      </c>
      <c r="I39" s="246">
        <f>VLOOKUP($H39,Leistungswerte!$A$8:$E$54,3,FALSE)</f>
        <v>5</v>
      </c>
      <c r="J39" s="246">
        <f>VLOOKUP($H39,Leistungswerte!$A$8:$E$54,4,FALSE)</f>
        <v>0</v>
      </c>
      <c r="K39" s="246">
        <f>VLOOKUP($H39,Leistungswerte!$A$8:$E$54,5,FALSE)</f>
        <v>0</v>
      </c>
      <c r="L39" s="83">
        <f t="shared" si="6"/>
        <v>23811.559999999998</v>
      </c>
      <c r="M39" s="247">
        <f>VLOOKUP($H39,Leistungswerte!$A$8:$F$54,$P$2,FALSE)</f>
        <v>0</v>
      </c>
      <c r="N39" s="84">
        <f t="shared" si="7"/>
        <v>0</v>
      </c>
      <c r="O39" s="80">
        <f t="shared" si="8"/>
        <v>0</v>
      </c>
      <c r="P39" s="248">
        <f t="shared" ca="1" si="0"/>
        <v>0</v>
      </c>
      <c r="Q39" s="85">
        <f t="shared" ca="1" si="9"/>
        <v>0</v>
      </c>
      <c r="R39" s="41"/>
    </row>
    <row r="40" spans="1:18" ht="24" customHeight="1" x14ac:dyDescent="0.2">
      <c r="A40" s="81">
        <f t="shared" si="1"/>
        <v>18</v>
      </c>
      <c r="B40" s="82" t="s">
        <v>276</v>
      </c>
      <c r="C40" s="82"/>
      <c r="D40" s="151"/>
      <c r="E40" s="82" t="s">
        <v>281</v>
      </c>
      <c r="F40" s="82" t="s">
        <v>434</v>
      </c>
      <c r="G40" s="83">
        <v>19.13</v>
      </c>
      <c r="H40" s="245" t="s">
        <v>90</v>
      </c>
      <c r="I40" s="246">
        <f>VLOOKUP($H40,Leistungswerte!$A$8:$E$54,3,FALSE)</f>
        <v>1</v>
      </c>
      <c r="J40" s="246">
        <f>VLOOKUP($H40,Leistungswerte!$A$8:$E$54,4,FALSE)</f>
        <v>0</v>
      </c>
      <c r="K40" s="246">
        <f>VLOOKUP($H40,Leistungswerte!$A$8:$E$54,5,FALSE)</f>
        <v>0</v>
      </c>
      <c r="L40" s="83">
        <f t="shared" si="6"/>
        <v>742.24399999999991</v>
      </c>
      <c r="M40" s="247">
        <f>VLOOKUP($H40,Leistungswerte!$A$8:$F$54,$P$2,FALSE)</f>
        <v>0</v>
      </c>
      <c r="N40" s="84">
        <f t="shared" si="7"/>
        <v>0</v>
      </c>
      <c r="O40" s="80">
        <f t="shared" si="8"/>
        <v>0</v>
      </c>
      <c r="P40" s="248">
        <f t="shared" ca="1" si="0"/>
        <v>0</v>
      </c>
      <c r="Q40" s="85">
        <f t="shared" ca="1" si="9"/>
        <v>0</v>
      </c>
      <c r="R40" s="41"/>
    </row>
    <row r="41" spans="1:18" ht="24" customHeight="1" x14ac:dyDescent="0.2">
      <c r="A41" s="81">
        <f t="shared" si="1"/>
        <v>19</v>
      </c>
      <c r="B41" s="82" t="s">
        <v>276</v>
      </c>
      <c r="C41" s="82"/>
      <c r="D41" s="151"/>
      <c r="E41" s="82" t="s">
        <v>330</v>
      </c>
      <c r="F41" s="82" t="s">
        <v>434</v>
      </c>
      <c r="G41" s="83">
        <v>7.85</v>
      </c>
      <c r="H41" s="245" t="s">
        <v>73</v>
      </c>
      <c r="I41" s="246">
        <f>VLOOKUP($H41,Leistungswerte!$A$8:$E$54,3,FALSE)</f>
        <v>1</v>
      </c>
      <c r="J41" s="246">
        <f>VLOOKUP($H41,Leistungswerte!$A$8:$E$54,4,FALSE)</f>
        <v>0</v>
      </c>
      <c r="K41" s="246">
        <f>VLOOKUP($H41,Leistungswerte!$A$8:$E$54,5,FALSE)</f>
        <v>0</v>
      </c>
      <c r="L41" s="83">
        <f t="shared" si="6"/>
        <v>304.58</v>
      </c>
      <c r="M41" s="247">
        <f>VLOOKUP($H41,Leistungswerte!$A$8:$F$54,$P$2,FALSE)</f>
        <v>0</v>
      </c>
      <c r="N41" s="84">
        <f t="shared" si="7"/>
        <v>0</v>
      </c>
      <c r="O41" s="80">
        <f t="shared" si="8"/>
        <v>0</v>
      </c>
      <c r="P41" s="248">
        <f t="shared" ca="1" si="0"/>
        <v>0</v>
      </c>
      <c r="Q41" s="85">
        <f t="shared" ca="1" si="9"/>
        <v>0</v>
      </c>
      <c r="R41" s="41"/>
    </row>
    <row r="42" spans="1:18" ht="24" customHeight="1" x14ac:dyDescent="0.2">
      <c r="A42" s="81">
        <f t="shared" si="1"/>
        <v>20</v>
      </c>
      <c r="B42" s="82" t="s">
        <v>276</v>
      </c>
      <c r="C42" s="82"/>
      <c r="D42" s="151"/>
      <c r="E42" s="303" t="s">
        <v>544</v>
      </c>
      <c r="F42" s="82" t="s">
        <v>434</v>
      </c>
      <c r="G42" s="83">
        <v>31.73</v>
      </c>
      <c r="H42" s="245" t="s">
        <v>73</v>
      </c>
      <c r="I42" s="246">
        <f>VLOOKUP($H42,Leistungswerte!$A$8:$E$54,3,FALSE)</f>
        <v>1</v>
      </c>
      <c r="J42" s="246">
        <f>VLOOKUP($H42,Leistungswerte!$A$8:$E$54,4,FALSE)</f>
        <v>0</v>
      </c>
      <c r="K42" s="246">
        <f>VLOOKUP($H42,Leistungswerte!$A$8:$E$54,5,FALSE)</f>
        <v>0</v>
      </c>
      <c r="L42" s="83">
        <f t="shared" si="6"/>
        <v>1231.124</v>
      </c>
      <c r="M42" s="247">
        <f>VLOOKUP($H42,Leistungswerte!$A$8:$F$54,$P$2,FALSE)</f>
        <v>0</v>
      </c>
      <c r="N42" s="84">
        <f t="shared" si="7"/>
        <v>0</v>
      </c>
      <c r="O42" s="80">
        <f t="shared" si="8"/>
        <v>0</v>
      </c>
      <c r="P42" s="248">
        <f t="shared" ca="1" si="0"/>
        <v>0</v>
      </c>
      <c r="Q42" s="85">
        <f t="shared" ca="1" si="9"/>
        <v>0</v>
      </c>
      <c r="R42" s="41"/>
    </row>
    <row r="43" spans="1:18" ht="24" customHeight="1" x14ac:dyDescent="0.2">
      <c r="A43" s="81">
        <f t="shared" si="1"/>
        <v>21</v>
      </c>
      <c r="B43" s="82" t="s">
        <v>276</v>
      </c>
      <c r="C43" s="82"/>
      <c r="D43" s="151"/>
      <c r="E43" s="82" t="s">
        <v>268</v>
      </c>
      <c r="F43" s="82" t="s">
        <v>434</v>
      </c>
      <c r="G43" s="83">
        <v>65.540000000000006</v>
      </c>
      <c r="H43" s="245" t="s">
        <v>75</v>
      </c>
      <c r="I43" s="246">
        <f>VLOOKUP($H43,Leistungswerte!$A$8:$E$54,3,FALSE)</f>
        <v>5</v>
      </c>
      <c r="J43" s="246">
        <f>VLOOKUP($H43,Leistungswerte!$A$8:$E$54,4,FALSE)</f>
        <v>0</v>
      </c>
      <c r="K43" s="246">
        <f>VLOOKUP($H43,Leistungswerte!$A$8:$E$54,5,FALSE)</f>
        <v>0</v>
      </c>
      <c r="L43" s="83">
        <f t="shared" si="6"/>
        <v>12714.760000000002</v>
      </c>
      <c r="M43" s="247">
        <f>VLOOKUP($H43,Leistungswerte!$A$8:$F$54,$P$2,FALSE)</f>
        <v>0</v>
      </c>
      <c r="N43" s="84">
        <f t="shared" si="7"/>
        <v>0</v>
      </c>
      <c r="O43" s="80">
        <f t="shared" si="8"/>
        <v>0</v>
      </c>
      <c r="P43" s="248">
        <f t="shared" ca="1" si="0"/>
        <v>0</v>
      </c>
      <c r="Q43" s="85">
        <f t="shared" ca="1" si="9"/>
        <v>0</v>
      </c>
      <c r="R43" s="41"/>
    </row>
    <row r="44" spans="1:18" ht="24" customHeight="1" x14ac:dyDescent="0.2">
      <c r="A44" s="81">
        <f t="shared" si="1"/>
        <v>22</v>
      </c>
      <c r="B44" s="82" t="s">
        <v>276</v>
      </c>
      <c r="C44" s="82"/>
      <c r="D44" s="151"/>
      <c r="E44" s="82" t="s">
        <v>454</v>
      </c>
      <c r="F44" s="82" t="s">
        <v>436</v>
      </c>
      <c r="G44" s="83">
        <v>12.58</v>
      </c>
      <c r="H44" s="245" t="s">
        <v>79</v>
      </c>
      <c r="I44" s="246">
        <f>VLOOKUP($H44,Leistungswerte!$A$8:$E$54,3,FALSE)</f>
        <v>5</v>
      </c>
      <c r="J44" s="246">
        <f>VLOOKUP($H44,Leistungswerte!$A$8:$E$54,4,FALSE)</f>
        <v>0</v>
      </c>
      <c r="K44" s="246">
        <f>VLOOKUP($H44,Leistungswerte!$A$8:$E$54,5,FALSE)</f>
        <v>0</v>
      </c>
      <c r="L44" s="83">
        <f t="shared" si="6"/>
        <v>2440.52</v>
      </c>
      <c r="M44" s="247">
        <f>VLOOKUP($H44,Leistungswerte!$A$8:$F$54,$P$2,FALSE)</f>
        <v>0</v>
      </c>
      <c r="N44" s="84">
        <f t="shared" si="7"/>
        <v>0</v>
      </c>
      <c r="O44" s="80">
        <f t="shared" si="8"/>
        <v>0</v>
      </c>
      <c r="P44" s="248">
        <f t="shared" ca="1" si="0"/>
        <v>0</v>
      </c>
      <c r="Q44" s="85">
        <f t="shared" ca="1" si="9"/>
        <v>0</v>
      </c>
      <c r="R44" s="41"/>
    </row>
    <row r="45" spans="1:18" ht="24" customHeight="1" x14ac:dyDescent="0.2">
      <c r="A45" s="81">
        <f t="shared" si="1"/>
        <v>23</v>
      </c>
      <c r="B45" s="82" t="s">
        <v>276</v>
      </c>
      <c r="C45" s="82"/>
      <c r="D45" s="151"/>
      <c r="E45" s="82" t="s">
        <v>414</v>
      </c>
      <c r="F45" s="82" t="s">
        <v>436</v>
      </c>
      <c r="G45" s="83">
        <v>14.54</v>
      </c>
      <c r="H45" s="245" t="s">
        <v>79</v>
      </c>
      <c r="I45" s="246">
        <f>VLOOKUP($H45,Leistungswerte!$A$8:$E$54,3,FALSE)</f>
        <v>5</v>
      </c>
      <c r="J45" s="246">
        <f>VLOOKUP($H45,Leistungswerte!$A$8:$E$54,4,FALSE)</f>
        <v>0</v>
      </c>
      <c r="K45" s="246">
        <f>VLOOKUP($H45,Leistungswerte!$A$8:$E$54,5,FALSE)</f>
        <v>0</v>
      </c>
      <c r="L45" s="83">
        <f t="shared" si="6"/>
        <v>2820.7599999999998</v>
      </c>
      <c r="M45" s="247">
        <f>VLOOKUP($H45,Leistungswerte!$A$8:$F$54,$P$2,FALSE)</f>
        <v>0</v>
      </c>
      <c r="N45" s="84">
        <f t="shared" si="7"/>
        <v>0</v>
      </c>
      <c r="O45" s="80">
        <f t="shared" si="8"/>
        <v>0</v>
      </c>
      <c r="P45" s="248">
        <f t="shared" ca="1" si="0"/>
        <v>0</v>
      </c>
      <c r="Q45" s="85">
        <f t="shared" ca="1" si="9"/>
        <v>0</v>
      </c>
      <c r="R45" s="41"/>
    </row>
    <row r="46" spans="1:18" ht="24" customHeight="1" x14ac:dyDescent="0.2">
      <c r="A46" s="81">
        <f t="shared" si="1"/>
        <v>24</v>
      </c>
      <c r="B46" s="82" t="s">
        <v>276</v>
      </c>
      <c r="C46" s="82"/>
      <c r="D46" s="151"/>
      <c r="E46" s="82" t="s">
        <v>452</v>
      </c>
      <c r="F46" s="82" t="s">
        <v>436</v>
      </c>
      <c r="G46" s="83">
        <v>3.08</v>
      </c>
      <c r="H46" s="245" t="s">
        <v>79</v>
      </c>
      <c r="I46" s="246">
        <f>VLOOKUP($H46,Leistungswerte!$A$8:$E$54,3,FALSE)</f>
        <v>5</v>
      </c>
      <c r="J46" s="246">
        <f>VLOOKUP($H46,Leistungswerte!$A$8:$E$54,4,FALSE)</f>
        <v>0</v>
      </c>
      <c r="K46" s="246">
        <f>VLOOKUP($H46,Leistungswerte!$A$8:$E$54,5,FALSE)</f>
        <v>0</v>
      </c>
      <c r="L46" s="83">
        <f t="shared" si="6"/>
        <v>597.52</v>
      </c>
      <c r="M46" s="247">
        <f>VLOOKUP($H46,Leistungswerte!$A$8:$F$54,$P$2,FALSE)</f>
        <v>0</v>
      </c>
      <c r="N46" s="84">
        <f t="shared" si="7"/>
        <v>0</v>
      </c>
      <c r="O46" s="80">
        <f t="shared" si="8"/>
        <v>0</v>
      </c>
      <c r="P46" s="248">
        <f t="shared" ca="1" si="0"/>
        <v>0</v>
      </c>
      <c r="Q46" s="85">
        <f t="shared" ca="1" si="9"/>
        <v>0</v>
      </c>
      <c r="R46" s="41"/>
    </row>
    <row r="47" spans="1:18" ht="24" customHeight="1" x14ac:dyDescent="0.2">
      <c r="A47" s="81">
        <f t="shared" si="1"/>
        <v>25</v>
      </c>
      <c r="B47" s="82" t="s">
        <v>276</v>
      </c>
      <c r="C47" s="82"/>
      <c r="D47" s="151"/>
      <c r="E47" s="82" t="s">
        <v>453</v>
      </c>
      <c r="F47" s="82" t="s">
        <v>436</v>
      </c>
      <c r="G47" s="83">
        <v>12.51</v>
      </c>
      <c r="H47" s="245" t="s">
        <v>79</v>
      </c>
      <c r="I47" s="246">
        <f>VLOOKUP($H47,Leistungswerte!$A$8:$E$54,3,FALSE)</f>
        <v>5</v>
      </c>
      <c r="J47" s="246">
        <f>VLOOKUP($H47,Leistungswerte!$A$8:$E$54,4,FALSE)</f>
        <v>0</v>
      </c>
      <c r="K47" s="246">
        <f>VLOOKUP($H47,Leistungswerte!$A$8:$E$54,5,FALSE)</f>
        <v>0</v>
      </c>
      <c r="L47" s="83">
        <f t="shared" si="6"/>
        <v>2426.94</v>
      </c>
      <c r="M47" s="247">
        <f>VLOOKUP($H47,Leistungswerte!$A$8:$F$54,$P$2,FALSE)</f>
        <v>0</v>
      </c>
      <c r="N47" s="84">
        <f t="shared" si="7"/>
        <v>0</v>
      </c>
      <c r="O47" s="80">
        <f t="shared" si="8"/>
        <v>0</v>
      </c>
      <c r="P47" s="248">
        <f t="shared" ca="1" si="0"/>
        <v>0</v>
      </c>
      <c r="Q47" s="85">
        <f t="shared" ca="1" si="9"/>
        <v>0</v>
      </c>
      <c r="R47" s="41"/>
    </row>
    <row r="48" spans="1:18" ht="24" customHeight="1" x14ac:dyDescent="0.2">
      <c r="A48" s="81">
        <f t="shared" si="1"/>
        <v>26</v>
      </c>
      <c r="B48" s="82" t="s">
        <v>276</v>
      </c>
      <c r="C48" s="82"/>
      <c r="D48" s="151"/>
      <c r="E48" s="82" t="s">
        <v>415</v>
      </c>
      <c r="F48" s="82" t="s">
        <v>436</v>
      </c>
      <c r="G48" s="83">
        <v>14.47</v>
      </c>
      <c r="H48" s="245" t="s">
        <v>79</v>
      </c>
      <c r="I48" s="246">
        <f>VLOOKUP($H48,Leistungswerte!$A$8:$E$54,3,FALSE)</f>
        <v>5</v>
      </c>
      <c r="J48" s="246">
        <f>VLOOKUP($H48,Leistungswerte!$A$8:$E$54,4,FALSE)</f>
        <v>0</v>
      </c>
      <c r="K48" s="246">
        <f>VLOOKUP($H48,Leistungswerte!$A$8:$E$54,5,FALSE)</f>
        <v>0</v>
      </c>
      <c r="L48" s="83">
        <f t="shared" si="6"/>
        <v>2807.1800000000003</v>
      </c>
      <c r="M48" s="247">
        <f>VLOOKUP($H48,Leistungswerte!$A$8:$F$54,$P$2,FALSE)</f>
        <v>0</v>
      </c>
      <c r="N48" s="84">
        <f t="shared" si="7"/>
        <v>0</v>
      </c>
      <c r="O48" s="80">
        <f t="shared" si="8"/>
        <v>0</v>
      </c>
      <c r="P48" s="248">
        <f t="shared" ca="1" si="0"/>
        <v>0</v>
      </c>
      <c r="Q48" s="85">
        <f t="shared" ca="1" si="9"/>
        <v>0</v>
      </c>
      <c r="R48" s="41"/>
    </row>
    <row r="49" spans="1:18" ht="24" customHeight="1" x14ac:dyDescent="0.2">
      <c r="A49" s="81">
        <f t="shared" si="1"/>
        <v>27</v>
      </c>
      <c r="B49" s="82" t="s">
        <v>276</v>
      </c>
      <c r="C49" s="82"/>
      <c r="D49" s="151"/>
      <c r="E49" s="82" t="s">
        <v>455</v>
      </c>
      <c r="F49" s="82" t="s">
        <v>436</v>
      </c>
      <c r="G49" s="83">
        <v>3.02</v>
      </c>
      <c r="H49" s="245" t="s">
        <v>79</v>
      </c>
      <c r="I49" s="246">
        <f>VLOOKUP($H49,Leistungswerte!$A$8:$E$54,3,FALSE)</f>
        <v>5</v>
      </c>
      <c r="J49" s="246">
        <f>VLOOKUP($H49,Leistungswerte!$A$8:$E$54,4,FALSE)</f>
        <v>0</v>
      </c>
      <c r="K49" s="246">
        <f>VLOOKUP($H49,Leistungswerte!$A$8:$E$54,5,FALSE)</f>
        <v>0</v>
      </c>
      <c r="L49" s="83">
        <f t="shared" si="6"/>
        <v>585.88</v>
      </c>
      <c r="M49" s="247">
        <f>VLOOKUP($H49,Leistungswerte!$A$8:$F$54,$P$2,FALSE)</f>
        <v>0</v>
      </c>
      <c r="N49" s="84">
        <f t="shared" si="7"/>
        <v>0</v>
      </c>
      <c r="O49" s="80">
        <f t="shared" si="8"/>
        <v>0</v>
      </c>
      <c r="P49" s="248">
        <f t="shared" ca="1" si="0"/>
        <v>0</v>
      </c>
      <c r="Q49" s="85">
        <f t="shared" ca="1" si="9"/>
        <v>0</v>
      </c>
      <c r="R49" s="41"/>
    </row>
    <row r="50" spans="1:18" ht="24" customHeight="1" x14ac:dyDescent="0.2">
      <c r="A50" s="81">
        <f t="shared" si="1"/>
        <v>28</v>
      </c>
      <c r="B50" s="82" t="s">
        <v>276</v>
      </c>
      <c r="C50" s="82"/>
      <c r="D50" s="151"/>
      <c r="E50" s="82" t="s">
        <v>268</v>
      </c>
      <c r="F50" s="82" t="s">
        <v>436</v>
      </c>
      <c r="G50" s="83">
        <v>135.5</v>
      </c>
      <c r="H50" s="245" t="s">
        <v>75</v>
      </c>
      <c r="I50" s="246">
        <f>VLOOKUP($H50,Leistungswerte!$A$8:$E$54,3,FALSE)</f>
        <v>5</v>
      </c>
      <c r="J50" s="246">
        <f>VLOOKUP($H50,Leistungswerte!$A$8:$E$54,4,FALSE)</f>
        <v>0</v>
      </c>
      <c r="K50" s="246">
        <f>VLOOKUP($H50,Leistungswerte!$A$8:$E$54,5,FALSE)</f>
        <v>0</v>
      </c>
      <c r="L50" s="83">
        <f t="shared" si="6"/>
        <v>26287</v>
      </c>
      <c r="M50" s="247">
        <f>VLOOKUP($H50,Leistungswerte!$A$8:$F$54,$P$2,FALSE)</f>
        <v>0</v>
      </c>
      <c r="N50" s="84">
        <f t="shared" si="7"/>
        <v>0</v>
      </c>
      <c r="O50" s="80">
        <f t="shared" si="8"/>
        <v>0</v>
      </c>
      <c r="P50" s="248">
        <f t="shared" ca="1" si="0"/>
        <v>0</v>
      </c>
      <c r="Q50" s="85">
        <f t="shared" ca="1" si="9"/>
        <v>0</v>
      </c>
      <c r="R50" s="41"/>
    </row>
    <row r="51" spans="1:18" ht="24" customHeight="1" x14ac:dyDescent="0.2">
      <c r="A51" s="81">
        <f t="shared" si="1"/>
        <v>29</v>
      </c>
      <c r="B51" s="82" t="s">
        <v>276</v>
      </c>
      <c r="C51" s="82"/>
      <c r="D51" s="151"/>
      <c r="E51" s="82" t="s">
        <v>331</v>
      </c>
      <c r="F51" s="82" t="s">
        <v>434</v>
      </c>
      <c r="G51" s="83">
        <v>16.38</v>
      </c>
      <c r="H51" s="245" t="s">
        <v>75</v>
      </c>
      <c r="I51" s="246">
        <f>VLOOKUP($H51,Leistungswerte!$A$8:$E$54,3,FALSE)</f>
        <v>5</v>
      </c>
      <c r="J51" s="246">
        <f>VLOOKUP($H51,Leistungswerte!$A$8:$E$54,4,FALSE)</f>
        <v>0</v>
      </c>
      <c r="K51" s="246">
        <f>VLOOKUP($H51,Leistungswerte!$A$8:$E$54,5,FALSE)</f>
        <v>0</v>
      </c>
      <c r="L51" s="83">
        <f t="shared" si="6"/>
        <v>3177.72</v>
      </c>
      <c r="M51" s="247">
        <f>VLOOKUP($H51,Leistungswerte!$A$8:$F$54,$P$2,FALSE)</f>
        <v>0</v>
      </c>
      <c r="N51" s="84">
        <f t="shared" si="7"/>
        <v>0</v>
      </c>
      <c r="O51" s="80">
        <f t="shared" si="8"/>
        <v>0</v>
      </c>
      <c r="P51" s="248">
        <f t="shared" ca="1" si="0"/>
        <v>0</v>
      </c>
      <c r="Q51" s="85">
        <f t="shared" ca="1" si="9"/>
        <v>0</v>
      </c>
      <c r="R51" s="41"/>
    </row>
    <row r="52" spans="1:18" ht="24" customHeight="1" x14ac:dyDescent="0.2">
      <c r="A52" s="81">
        <f t="shared" si="1"/>
        <v>30</v>
      </c>
      <c r="B52" s="82" t="s">
        <v>276</v>
      </c>
      <c r="C52" s="82"/>
      <c r="D52" s="151"/>
      <c r="E52" s="82" t="s">
        <v>332</v>
      </c>
      <c r="F52" s="82" t="s">
        <v>434</v>
      </c>
      <c r="G52" s="83">
        <v>51.68</v>
      </c>
      <c r="H52" s="245" t="s">
        <v>75</v>
      </c>
      <c r="I52" s="246">
        <f>VLOOKUP($H52,Leistungswerte!$A$8:$E$54,3,FALSE)</f>
        <v>5</v>
      </c>
      <c r="J52" s="246">
        <f>VLOOKUP($H52,Leistungswerte!$A$8:$E$54,4,FALSE)</f>
        <v>0</v>
      </c>
      <c r="K52" s="246">
        <f>VLOOKUP($H52,Leistungswerte!$A$8:$E$54,5,FALSE)</f>
        <v>0</v>
      </c>
      <c r="L52" s="83">
        <f t="shared" si="6"/>
        <v>10025.92</v>
      </c>
      <c r="M52" s="247">
        <f>VLOOKUP($H52,Leistungswerte!$A$8:$F$54,$P$2,FALSE)</f>
        <v>0</v>
      </c>
      <c r="N52" s="84">
        <f t="shared" si="7"/>
        <v>0</v>
      </c>
      <c r="O52" s="80">
        <f t="shared" si="8"/>
        <v>0</v>
      </c>
      <c r="P52" s="248">
        <f t="shared" ca="1" si="0"/>
        <v>0</v>
      </c>
      <c r="Q52" s="85">
        <f t="shared" ca="1" si="9"/>
        <v>0</v>
      </c>
      <c r="R52" s="41"/>
    </row>
    <row r="53" spans="1:18" ht="24" customHeight="1" x14ac:dyDescent="0.2">
      <c r="A53" s="81">
        <f t="shared" si="1"/>
        <v>31</v>
      </c>
      <c r="B53" s="82" t="s">
        <v>276</v>
      </c>
      <c r="C53" s="82"/>
      <c r="D53" s="151"/>
      <c r="E53" s="303" t="s">
        <v>543</v>
      </c>
      <c r="F53" s="82" t="s">
        <v>434</v>
      </c>
      <c r="G53" s="83">
        <v>23.31</v>
      </c>
      <c r="H53" s="245" t="s">
        <v>73</v>
      </c>
      <c r="I53" s="246">
        <f>VLOOKUP($H53,Leistungswerte!$A$8:$E$54,3,FALSE)</f>
        <v>1</v>
      </c>
      <c r="J53" s="246">
        <f>VLOOKUP($H53,Leistungswerte!$A$8:$E$54,4,FALSE)</f>
        <v>0</v>
      </c>
      <c r="K53" s="246">
        <f>VLOOKUP($H53,Leistungswerte!$A$8:$E$54,5,FALSE)</f>
        <v>0</v>
      </c>
      <c r="L53" s="83">
        <f t="shared" si="6"/>
        <v>904.42799999999988</v>
      </c>
      <c r="M53" s="247">
        <f>VLOOKUP($H53,Leistungswerte!$A$8:$F$54,$P$2,FALSE)</f>
        <v>0</v>
      </c>
      <c r="N53" s="84">
        <f t="shared" si="7"/>
        <v>0</v>
      </c>
      <c r="O53" s="80">
        <f t="shared" si="8"/>
        <v>0</v>
      </c>
      <c r="P53" s="248">
        <f t="shared" ca="1" si="0"/>
        <v>0</v>
      </c>
      <c r="Q53" s="85">
        <f t="shared" ca="1" si="9"/>
        <v>0</v>
      </c>
      <c r="R53" s="41"/>
    </row>
    <row r="54" spans="1:18" ht="24" customHeight="1" x14ac:dyDescent="0.2">
      <c r="A54" s="81">
        <f t="shared" si="1"/>
        <v>32</v>
      </c>
      <c r="B54" s="82" t="s">
        <v>276</v>
      </c>
      <c r="C54" s="82"/>
      <c r="D54" s="151"/>
      <c r="E54" s="82" t="s">
        <v>273</v>
      </c>
      <c r="F54" s="82" t="s">
        <v>434</v>
      </c>
      <c r="G54" s="83">
        <v>4.79</v>
      </c>
      <c r="H54" s="245" t="s">
        <v>16</v>
      </c>
      <c r="I54" s="246">
        <f>VLOOKUP($H54,Leistungswerte!$A$8:$E$54,3,FALSE)</f>
        <v>0</v>
      </c>
      <c r="J54" s="246">
        <f>VLOOKUP($H54,Leistungswerte!$A$8:$E$54,4,FALSE)</f>
        <v>0</v>
      </c>
      <c r="K54" s="246">
        <f>VLOOKUP($H54,Leistungswerte!$A$8:$E$54,5,FALSE)</f>
        <v>0</v>
      </c>
      <c r="L54" s="83">
        <f t="shared" si="6"/>
        <v>0</v>
      </c>
      <c r="M54" s="247">
        <f>VLOOKUP($H54,Leistungswerte!$A$8:$F$54,$P$2,FALSE)</f>
        <v>0</v>
      </c>
      <c r="N54" s="84">
        <f t="shared" si="7"/>
        <v>0</v>
      </c>
      <c r="O54" s="80">
        <f t="shared" si="8"/>
        <v>0</v>
      </c>
      <c r="P54" s="248">
        <f t="shared" ca="1" si="0"/>
        <v>0</v>
      </c>
      <c r="Q54" s="85">
        <f t="shared" ca="1" si="9"/>
        <v>0</v>
      </c>
      <c r="R54" s="41"/>
    </row>
    <row r="55" spans="1:18" ht="24" customHeight="1" x14ac:dyDescent="0.2">
      <c r="A55" s="81">
        <f t="shared" si="1"/>
        <v>33</v>
      </c>
      <c r="B55" s="82" t="s">
        <v>276</v>
      </c>
      <c r="C55" s="82"/>
      <c r="D55" s="151" t="s">
        <v>172</v>
      </c>
      <c r="E55" s="303" t="s">
        <v>548</v>
      </c>
      <c r="F55" s="82" t="s">
        <v>434</v>
      </c>
      <c r="G55" s="83">
        <v>56.73</v>
      </c>
      <c r="H55" s="245" t="s">
        <v>91</v>
      </c>
      <c r="I55" s="246">
        <f>VLOOKUP($H55,Leistungswerte!$A$8:$E$54,3,FALSE)</f>
        <v>5</v>
      </c>
      <c r="J55" s="246">
        <f>VLOOKUP($H55,Leistungswerte!$A$8:$E$54,4,FALSE)</f>
        <v>0</v>
      </c>
      <c r="K55" s="246">
        <f>VLOOKUP($H55,Leistungswerte!$A$8:$E$54,5,FALSE)</f>
        <v>0</v>
      </c>
      <c r="L55" s="83">
        <f t="shared" si="6"/>
        <v>11005.619999999999</v>
      </c>
      <c r="M55" s="247">
        <f>VLOOKUP($H55,Leistungswerte!$A$8:$F$54,$P$2,FALSE)</f>
        <v>0</v>
      </c>
      <c r="N55" s="84">
        <f t="shared" si="7"/>
        <v>0</v>
      </c>
      <c r="O55" s="80">
        <f t="shared" si="8"/>
        <v>0</v>
      </c>
      <c r="P55" s="248">
        <f t="shared" ca="1" si="0"/>
        <v>0</v>
      </c>
      <c r="Q55" s="85">
        <f t="shared" ca="1" si="9"/>
        <v>0</v>
      </c>
      <c r="R55" s="41"/>
    </row>
    <row r="56" spans="1:18" ht="24" customHeight="1" x14ac:dyDescent="0.2">
      <c r="A56" s="81">
        <f t="shared" si="1"/>
        <v>34</v>
      </c>
      <c r="B56" s="82" t="s">
        <v>276</v>
      </c>
      <c r="C56" s="82"/>
      <c r="D56" s="151" t="s">
        <v>173</v>
      </c>
      <c r="E56" s="303" t="s">
        <v>549</v>
      </c>
      <c r="F56" s="82" t="s">
        <v>434</v>
      </c>
      <c r="G56" s="83">
        <v>56.64</v>
      </c>
      <c r="H56" s="245" t="s">
        <v>91</v>
      </c>
      <c r="I56" s="246">
        <f>VLOOKUP($H56,Leistungswerte!$A$8:$E$54,3,FALSE)</f>
        <v>5</v>
      </c>
      <c r="J56" s="246">
        <f>VLOOKUP($H56,Leistungswerte!$A$8:$E$54,4,FALSE)</f>
        <v>0</v>
      </c>
      <c r="K56" s="246">
        <f>VLOOKUP($H56,Leistungswerte!$A$8:$E$54,5,FALSE)</f>
        <v>0</v>
      </c>
      <c r="L56" s="83">
        <f t="shared" si="6"/>
        <v>10988.16</v>
      </c>
      <c r="M56" s="247">
        <f>VLOOKUP($H56,Leistungswerte!$A$8:$F$54,$P$2,FALSE)</f>
        <v>0</v>
      </c>
      <c r="N56" s="84">
        <f t="shared" si="7"/>
        <v>0</v>
      </c>
      <c r="O56" s="80">
        <f t="shared" si="8"/>
        <v>0</v>
      </c>
      <c r="P56" s="248">
        <f t="shared" ca="1" si="0"/>
        <v>0</v>
      </c>
      <c r="Q56" s="85">
        <f t="shared" ca="1" si="9"/>
        <v>0</v>
      </c>
      <c r="R56" s="41"/>
    </row>
    <row r="57" spans="1:18" ht="24" customHeight="1" x14ac:dyDescent="0.2">
      <c r="A57" s="81">
        <f t="shared" si="1"/>
        <v>35</v>
      </c>
      <c r="B57" s="82" t="s">
        <v>276</v>
      </c>
      <c r="C57" s="82"/>
      <c r="D57" s="151" t="s">
        <v>158</v>
      </c>
      <c r="E57" s="303" t="s">
        <v>550</v>
      </c>
      <c r="F57" s="82" t="s">
        <v>434</v>
      </c>
      <c r="G57" s="83">
        <v>56.35</v>
      </c>
      <c r="H57" s="245" t="s">
        <v>91</v>
      </c>
      <c r="I57" s="246">
        <f>VLOOKUP($H57,Leistungswerte!$A$8:$E$54,3,FALSE)</f>
        <v>5</v>
      </c>
      <c r="J57" s="246">
        <f>VLOOKUP($H57,Leistungswerte!$A$8:$E$54,4,FALSE)</f>
        <v>0</v>
      </c>
      <c r="K57" s="246">
        <f>VLOOKUP($H57,Leistungswerte!$A$8:$E$54,5,FALSE)</f>
        <v>0</v>
      </c>
      <c r="L57" s="83">
        <f t="shared" si="6"/>
        <v>10931.9</v>
      </c>
      <c r="M57" s="247">
        <f>VLOOKUP($H57,Leistungswerte!$A$8:$F$54,$P$2,FALSE)</f>
        <v>0</v>
      </c>
      <c r="N57" s="84">
        <f t="shared" si="7"/>
        <v>0</v>
      </c>
      <c r="O57" s="80">
        <f t="shared" si="8"/>
        <v>0</v>
      </c>
      <c r="P57" s="248">
        <f t="shared" ca="1" si="0"/>
        <v>0</v>
      </c>
      <c r="Q57" s="85">
        <f t="shared" ca="1" si="9"/>
        <v>0</v>
      </c>
      <c r="R57" s="41"/>
    </row>
    <row r="58" spans="1:18" ht="24" customHeight="1" x14ac:dyDescent="0.2">
      <c r="A58" s="81">
        <f t="shared" si="1"/>
        <v>36</v>
      </c>
      <c r="B58" s="82" t="s">
        <v>276</v>
      </c>
      <c r="C58" s="82"/>
      <c r="D58" s="151" t="s">
        <v>175</v>
      </c>
      <c r="E58" s="303" t="s">
        <v>299</v>
      </c>
      <c r="F58" s="82" t="s">
        <v>434</v>
      </c>
      <c r="G58" s="83">
        <v>56.42</v>
      </c>
      <c r="H58" s="245" t="s">
        <v>91</v>
      </c>
      <c r="I58" s="246">
        <f>VLOOKUP($H58,Leistungswerte!$A$8:$E$54,3,FALSE)</f>
        <v>5</v>
      </c>
      <c r="J58" s="246">
        <f>VLOOKUP($H58,Leistungswerte!$A$8:$E$54,4,FALSE)</f>
        <v>0</v>
      </c>
      <c r="K58" s="246">
        <f>VLOOKUP($H58,Leistungswerte!$A$8:$E$54,5,FALSE)</f>
        <v>0</v>
      </c>
      <c r="L58" s="83">
        <f t="shared" si="6"/>
        <v>10945.48</v>
      </c>
      <c r="M58" s="247">
        <f>VLOOKUP($H58,Leistungswerte!$A$8:$F$54,$P$2,FALSE)</f>
        <v>0</v>
      </c>
      <c r="N58" s="84">
        <f t="shared" si="7"/>
        <v>0</v>
      </c>
      <c r="O58" s="80">
        <f t="shared" si="8"/>
        <v>0</v>
      </c>
      <c r="P58" s="248">
        <f t="shared" ca="1" si="0"/>
        <v>0</v>
      </c>
      <c r="Q58" s="85">
        <f t="shared" ca="1" si="9"/>
        <v>0</v>
      </c>
      <c r="R58" s="41"/>
    </row>
    <row r="59" spans="1:18" ht="24" customHeight="1" x14ac:dyDescent="0.2">
      <c r="A59" s="81">
        <f t="shared" si="1"/>
        <v>37</v>
      </c>
      <c r="B59" s="82" t="s">
        <v>276</v>
      </c>
      <c r="C59" s="82"/>
      <c r="D59" s="151" t="s">
        <v>239</v>
      </c>
      <c r="E59" s="303" t="s">
        <v>299</v>
      </c>
      <c r="F59" s="82" t="s">
        <v>434</v>
      </c>
      <c r="G59" s="83">
        <v>56.42</v>
      </c>
      <c r="H59" s="245" t="s">
        <v>91</v>
      </c>
      <c r="I59" s="246">
        <f>VLOOKUP($H59,Leistungswerte!$A$8:$E$54,3,FALSE)</f>
        <v>5</v>
      </c>
      <c r="J59" s="246">
        <f>VLOOKUP($H59,Leistungswerte!$A$8:$E$54,4,FALSE)</f>
        <v>0</v>
      </c>
      <c r="K59" s="246">
        <f>VLOOKUP($H59,Leistungswerte!$A$8:$E$54,5,FALSE)</f>
        <v>0</v>
      </c>
      <c r="L59" s="83">
        <f t="shared" si="6"/>
        <v>10945.48</v>
      </c>
      <c r="M59" s="247">
        <f>VLOOKUP($H59,Leistungswerte!$A$8:$F$54,$P$2,FALSE)</f>
        <v>0</v>
      </c>
      <c r="N59" s="84">
        <f t="shared" si="7"/>
        <v>0</v>
      </c>
      <c r="O59" s="80">
        <f t="shared" si="8"/>
        <v>0</v>
      </c>
      <c r="P59" s="248">
        <f t="shared" ca="1" si="0"/>
        <v>0</v>
      </c>
      <c r="Q59" s="85">
        <f t="shared" ca="1" si="9"/>
        <v>0</v>
      </c>
      <c r="R59" s="41"/>
    </row>
    <row r="60" spans="1:18" ht="24" customHeight="1" x14ac:dyDescent="0.2">
      <c r="A60" s="81">
        <f t="shared" si="1"/>
        <v>38</v>
      </c>
      <c r="B60" s="82" t="s">
        <v>276</v>
      </c>
      <c r="C60" s="82"/>
      <c r="D60" s="151" t="s">
        <v>240</v>
      </c>
      <c r="E60" s="82" t="s">
        <v>299</v>
      </c>
      <c r="F60" s="82" t="s">
        <v>434</v>
      </c>
      <c r="G60" s="83">
        <v>56.56</v>
      </c>
      <c r="H60" s="245" t="s">
        <v>91</v>
      </c>
      <c r="I60" s="246">
        <f>VLOOKUP($H60,Leistungswerte!$A$8:$E$54,3,FALSE)</f>
        <v>5</v>
      </c>
      <c r="J60" s="246">
        <f>VLOOKUP($H60,Leistungswerte!$A$8:$E$54,4,FALSE)</f>
        <v>0</v>
      </c>
      <c r="K60" s="246">
        <f>VLOOKUP($H60,Leistungswerte!$A$8:$E$54,5,FALSE)</f>
        <v>0</v>
      </c>
      <c r="L60" s="83">
        <f t="shared" si="6"/>
        <v>10972.640000000001</v>
      </c>
      <c r="M60" s="247">
        <f>VLOOKUP($H60,Leistungswerte!$A$8:$F$54,$P$2,FALSE)</f>
        <v>0</v>
      </c>
      <c r="N60" s="84">
        <f t="shared" si="7"/>
        <v>0</v>
      </c>
      <c r="O60" s="80">
        <f t="shared" si="8"/>
        <v>0</v>
      </c>
      <c r="P60" s="248">
        <f t="shared" ca="1" si="0"/>
        <v>0</v>
      </c>
      <c r="Q60" s="85">
        <f t="shared" ca="1" si="9"/>
        <v>0</v>
      </c>
      <c r="R60" s="41"/>
    </row>
    <row r="61" spans="1:18" ht="24" customHeight="1" x14ac:dyDescent="0.2">
      <c r="A61" s="81">
        <f t="shared" si="1"/>
        <v>39</v>
      </c>
      <c r="B61" s="82" t="s">
        <v>276</v>
      </c>
      <c r="C61" s="82"/>
      <c r="D61" s="151" t="s">
        <v>241</v>
      </c>
      <c r="E61" s="82" t="s">
        <v>299</v>
      </c>
      <c r="F61" s="82" t="s">
        <v>434</v>
      </c>
      <c r="G61" s="83">
        <v>56.36</v>
      </c>
      <c r="H61" s="245" t="s">
        <v>91</v>
      </c>
      <c r="I61" s="246">
        <f>VLOOKUP($H61,Leistungswerte!$A$8:$E$54,3,FALSE)</f>
        <v>5</v>
      </c>
      <c r="J61" s="246">
        <f>VLOOKUP($H61,Leistungswerte!$A$8:$E$54,4,FALSE)</f>
        <v>0</v>
      </c>
      <c r="K61" s="246">
        <f>VLOOKUP($H61,Leistungswerte!$A$8:$E$54,5,FALSE)</f>
        <v>0</v>
      </c>
      <c r="L61" s="83">
        <f t="shared" si="6"/>
        <v>10933.84</v>
      </c>
      <c r="M61" s="247">
        <f>VLOOKUP($H61,Leistungswerte!$A$8:$F$54,$P$2,FALSE)</f>
        <v>0</v>
      </c>
      <c r="N61" s="84">
        <f t="shared" si="7"/>
        <v>0</v>
      </c>
      <c r="O61" s="80">
        <f t="shared" si="8"/>
        <v>0</v>
      </c>
      <c r="P61" s="248">
        <f t="shared" ca="1" si="0"/>
        <v>0</v>
      </c>
      <c r="Q61" s="85">
        <f t="shared" ca="1" si="9"/>
        <v>0</v>
      </c>
      <c r="R61" s="41"/>
    </row>
    <row r="62" spans="1:18" ht="24" customHeight="1" x14ac:dyDescent="0.2">
      <c r="A62" s="81">
        <f t="shared" si="1"/>
        <v>40</v>
      </c>
      <c r="B62" s="82" t="s">
        <v>276</v>
      </c>
      <c r="C62" s="82"/>
      <c r="D62" s="151" t="s">
        <v>242</v>
      </c>
      <c r="E62" s="82" t="s">
        <v>299</v>
      </c>
      <c r="F62" s="82" t="s">
        <v>434</v>
      </c>
      <c r="G62" s="83">
        <v>56.45</v>
      </c>
      <c r="H62" s="245" t="s">
        <v>91</v>
      </c>
      <c r="I62" s="246">
        <f>VLOOKUP($H62,Leistungswerte!$A$8:$E$54,3,FALSE)</f>
        <v>5</v>
      </c>
      <c r="J62" s="246">
        <f>VLOOKUP($H62,Leistungswerte!$A$8:$E$54,4,FALSE)</f>
        <v>0</v>
      </c>
      <c r="K62" s="246">
        <f>VLOOKUP($H62,Leistungswerte!$A$8:$E$54,5,FALSE)</f>
        <v>0</v>
      </c>
      <c r="L62" s="83">
        <f t="shared" si="6"/>
        <v>10951.300000000001</v>
      </c>
      <c r="M62" s="247">
        <f>VLOOKUP($H62,Leistungswerte!$A$8:$F$54,$P$2,FALSE)</f>
        <v>0</v>
      </c>
      <c r="N62" s="84">
        <f t="shared" si="7"/>
        <v>0</v>
      </c>
      <c r="O62" s="80">
        <f t="shared" si="8"/>
        <v>0</v>
      </c>
      <c r="P62" s="248">
        <f t="shared" ca="1" si="0"/>
        <v>0</v>
      </c>
      <c r="Q62" s="85">
        <f t="shared" ca="1" si="9"/>
        <v>0</v>
      </c>
      <c r="R62" s="41"/>
    </row>
    <row r="63" spans="1:18" ht="24" customHeight="1" x14ac:dyDescent="0.2">
      <c r="A63" s="81">
        <f t="shared" si="1"/>
        <v>41</v>
      </c>
      <c r="B63" s="82" t="s">
        <v>276</v>
      </c>
      <c r="C63" s="82"/>
      <c r="D63" s="151"/>
      <c r="E63" s="82" t="s">
        <v>295</v>
      </c>
      <c r="F63" s="82" t="s">
        <v>434</v>
      </c>
      <c r="G63" s="83">
        <v>14.4</v>
      </c>
      <c r="H63" s="245" t="s">
        <v>76</v>
      </c>
      <c r="I63" s="246">
        <f>VLOOKUP($H63,Leistungswerte!$A$8:$E$54,3,FALSE)</f>
        <v>5</v>
      </c>
      <c r="J63" s="246">
        <f>VLOOKUP($H63,Leistungswerte!$A$8:$E$54,4,FALSE)</f>
        <v>0</v>
      </c>
      <c r="K63" s="246">
        <f>VLOOKUP($H63,Leistungswerte!$A$8:$E$54,5,FALSE)</f>
        <v>0</v>
      </c>
      <c r="L63" s="83">
        <f t="shared" si="6"/>
        <v>2793.6</v>
      </c>
      <c r="M63" s="247">
        <f>VLOOKUP($H63,Leistungswerte!$A$8:$F$54,$P$2,FALSE)</f>
        <v>0</v>
      </c>
      <c r="N63" s="84">
        <f t="shared" si="7"/>
        <v>0</v>
      </c>
      <c r="O63" s="80">
        <f t="shared" si="8"/>
        <v>0</v>
      </c>
      <c r="P63" s="248">
        <f t="shared" ca="1" si="0"/>
        <v>0</v>
      </c>
      <c r="Q63" s="85">
        <f t="shared" ca="1" si="9"/>
        <v>0</v>
      </c>
      <c r="R63" s="41"/>
    </row>
    <row r="64" spans="1:18" ht="24" customHeight="1" x14ac:dyDescent="0.2">
      <c r="A64" s="81">
        <f t="shared" si="1"/>
        <v>42</v>
      </c>
      <c r="B64" s="82" t="s">
        <v>292</v>
      </c>
      <c r="C64" s="82"/>
      <c r="D64" s="151"/>
      <c r="E64" s="82" t="s">
        <v>272</v>
      </c>
      <c r="F64" s="82" t="s">
        <v>316</v>
      </c>
      <c r="G64" s="83">
        <v>8.9600000000000009</v>
      </c>
      <c r="H64" s="245" t="s">
        <v>76</v>
      </c>
      <c r="I64" s="246">
        <f>VLOOKUP($H64,Leistungswerte!$A$8:$E$54,3,FALSE)</f>
        <v>5</v>
      </c>
      <c r="J64" s="246">
        <f>VLOOKUP($H64,Leistungswerte!$A$8:$E$54,4,FALSE)</f>
        <v>0</v>
      </c>
      <c r="K64" s="246">
        <f>VLOOKUP($H64,Leistungswerte!$A$8:$E$54,5,FALSE)</f>
        <v>0</v>
      </c>
      <c r="L64" s="83">
        <f t="shared" si="6"/>
        <v>1738.2400000000002</v>
      </c>
      <c r="M64" s="247">
        <f>VLOOKUP($H64,Leistungswerte!$A$8:$F$54,$P$2,FALSE)</f>
        <v>0</v>
      </c>
      <c r="N64" s="84">
        <f t="shared" si="7"/>
        <v>0</v>
      </c>
      <c r="O64" s="80">
        <f t="shared" si="8"/>
        <v>0</v>
      </c>
      <c r="P64" s="248">
        <f t="shared" ca="1" si="0"/>
        <v>0</v>
      </c>
      <c r="Q64" s="85">
        <f t="shared" ca="1" si="9"/>
        <v>0</v>
      </c>
      <c r="R64" s="41"/>
    </row>
    <row r="65" spans="1:18" ht="24" customHeight="1" x14ac:dyDescent="0.2">
      <c r="A65" s="81">
        <f t="shared" si="1"/>
        <v>43</v>
      </c>
      <c r="B65" s="82" t="s">
        <v>292</v>
      </c>
      <c r="C65" s="82"/>
      <c r="D65" s="151"/>
      <c r="E65" s="82" t="s">
        <v>295</v>
      </c>
      <c r="F65" s="82" t="s">
        <v>316</v>
      </c>
      <c r="G65" s="83">
        <v>5.44</v>
      </c>
      <c r="H65" s="245" t="s">
        <v>76</v>
      </c>
      <c r="I65" s="246">
        <f>VLOOKUP($H65,Leistungswerte!$A$8:$E$54,3,FALSE)</f>
        <v>5</v>
      </c>
      <c r="J65" s="246">
        <f>VLOOKUP($H65,Leistungswerte!$A$8:$E$54,4,FALSE)</f>
        <v>0</v>
      </c>
      <c r="K65" s="246">
        <f>VLOOKUP($H65,Leistungswerte!$A$8:$E$54,5,FALSE)</f>
        <v>0</v>
      </c>
      <c r="L65" s="83">
        <f t="shared" si="6"/>
        <v>1055.3600000000001</v>
      </c>
      <c r="M65" s="247">
        <f>VLOOKUP($H65,Leistungswerte!$A$8:$F$54,$P$2,FALSE)</f>
        <v>0</v>
      </c>
      <c r="N65" s="84">
        <f t="shared" si="7"/>
        <v>0</v>
      </c>
      <c r="O65" s="80">
        <f t="shared" si="8"/>
        <v>0</v>
      </c>
      <c r="P65" s="248">
        <f t="shared" ca="1" si="0"/>
        <v>0</v>
      </c>
      <c r="Q65" s="85">
        <f t="shared" ca="1" si="9"/>
        <v>0</v>
      </c>
      <c r="R65" s="41"/>
    </row>
    <row r="66" spans="1:18" ht="24" customHeight="1" x14ac:dyDescent="0.2">
      <c r="A66" s="81">
        <f t="shared" si="1"/>
        <v>44</v>
      </c>
      <c r="B66" s="82" t="s">
        <v>289</v>
      </c>
      <c r="C66" s="82"/>
      <c r="D66" s="151"/>
      <c r="E66" s="82" t="s">
        <v>295</v>
      </c>
      <c r="F66" s="82" t="s">
        <v>434</v>
      </c>
      <c r="G66" s="83">
        <v>24.63</v>
      </c>
      <c r="H66" s="245" t="s">
        <v>76</v>
      </c>
      <c r="I66" s="246">
        <f>VLOOKUP($H66,Leistungswerte!$A$8:$E$54,3,FALSE)</f>
        <v>5</v>
      </c>
      <c r="J66" s="246">
        <f>VLOOKUP($H66,Leistungswerte!$A$8:$E$54,4,FALSE)</f>
        <v>0</v>
      </c>
      <c r="K66" s="246">
        <f>VLOOKUP($H66,Leistungswerte!$A$8:$E$54,5,FALSE)</f>
        <v>0</v>
      </c>
      <c r="L66" s="83">
        <f t="shared" si="6"/>
        <v>4778.22</v>
      </c>
      <c r="M66" s="247">
        <f>VLOOKUP($H66,Leistungswerte!$A$8:$F$54,$P$2,FALSE)</f>
        <v>0</v>
      </c>
      <c r="N66" s="84">
        <f t="shared" si="7"/>
        <v>0</v>
      </c>
      <c r="O66" s="80">
        <f t="shared" si="8"/>
        <v>0</v>
      </c>
      <c r="P66" s="248">
        <f t="shared" ca="1" si="0"/>
        <v>0</v>
      </c>
      <c r="Q66" s="85">
        <f t="shared" ca="1" si="9"/>
        <v>0</v>
      </c>
      <c r="R66" s="41"/>
    </row>
    <row r="67" spans="1:18" ht="24" customHeight="1" x14ac:dyDescent="0.2">
      <c r="A67" s="81">
        <f t="shared" si="1"/>
        <v>45</v>
      </c>
      <c r="B67" s="82" t="s">
        <v>289</v>
      </c>
      <c r="C67" s="82"/>
      <c r="D67" s="151"/>
      <c r="E67" s="82" t="s">
        <v>268</v>
      </c>
      <c r="F67" s="82" t="s">
        <v>434</v>
      </c>
      <c r="G67" s="83">
        <v>136.43</v>
      </c>
      <c r="H67" s="245" t="s">
        <v>75</v>
      </c>
      <c r="I67" s="246">
        <f>VLOOKUP($H67,Leistungswerte!$A$8:$E$54,3,FALSE)</f>
        <v>5</v>
      </c>
      <c r="J67" s="246">
        <f>VLOOKUP($H67,Leistungswerte!$A$8:$E$54,4,FALSE)</f>
        <v>0</v>
      </c>
      <c r="K67" s="246">
        <f>VLOOKUP($H67,Leistungswerte!$A$8:$E$54,5,FALSE)</f>
        <v>0</v>
      </c>
      <c r="L67" s="83">
        <f t="shared" si="6"/>
        <v>26467.420000000002</v>
      </c>
      <c r="M67" s="247">
        <f>VLOOKUP($H67,Leistungswerte!$A$8:$F$54,$P$2,FALSE)</f>
        <v>0</v>
      </c>
      <c r="N67" s="84">
        <f t="shared" si="7"/>
        <v>0</v>
      </c>
      <c r="O67" s="80">
        <f t="shared" si="8"/>
        <v>0</v>
      </c>
      <c r="P67" s="248">
        <f t="shared" ca="1" si="0"/>
        <v>0</v>
      </c>
      <c r="Q67" s="85">
        <f t="shared" ca="1" si="9"/>
        <v>0</v>
      </c>
      <c r="R67" s="41"/>
    </row>
    <row r="68" spans="1:18" ht="24" customHeight="1" x14ac:dyDescent="0.2">
      <c r="A68" s="81">
        <f t="shared" si="1"/>
        <v>46</v>
      </c>
      <c r="B68" s="82" t="s">
        <v>289</v>
      </c>
      <c r="C68" s="82"/>
      <c r="D68" s="151"/>
      <c r="E68" s="82" t="s">
        <v>447</v>
      </c>
      <c r="F68" s="82" t="s">
        <v>436</v>
      </c>
      <c r="G68" s="83">
        <v>13.11</v>
      </c>
      <c r="H68" s="245" t="s">
        <v>79</v>
      </c>
      <c r="I68" s="246">
        <f>VLOOKUP($H68,Leistungswerte!$A$8:$E$54,3,FALSE)</f>
        <v>5</v>
      </c>
      <c r="J68" s="246">
        <f>VLOOKUP($H68,Leistungswerte!$A$8:$E$54,4,FALSE)</f>
        <v>0</v>
      </c>
      <c r="K68" s="246">
        <f>VLOOKUP($H68,Leistungswerte!$A$8:$E$54,5,FALSE)</f>
        <v>0</v>
      </c>
      <c r="L68" s="83">
        <f t="shared" si="6"/>
        <v>2543.3399999999997</v>
      </c>
      <c r="M68" s="247">
        <f>VLOOKUP($H68,Leistungswerte!$A$8:$F$54,$P$2,FALSE)</f>
        <v>0</v>
      </c>
      <c r="N68" s="84">
        <f t="shared" si="7"/>
        <v>0</v>
      </c>
      <c r="O68" s="80">
        <f t="shared" si="8"/>
        <v>0</v>
      </c>
      <c r="P68" s="248">
        <f t="shared" ca="1" si="0"/>
        <v>0</v>
      </c>
      <c r="Q68" s="85">
        <f t="shared" ca="1" si="9"/>
        <v>0</v>
      </c>
      <c r="R68" s="41"/>
    </row>
    <row r="69" spans="1:18" ht="24" customHeight="1" x14ac:dyDescent="0.2">
      <c r="A69" s="81">
        <f t="shared" si="1"/>
        <v>47</v>
      </c>
      <c r="B69" s="82" t="s">
        <v>289</v>
      </c>
      <c r="C69" s="82"/>
      <c r="D69" s="151"/>
      <c r="E69" s="82" t="s">
        <v>446</v>
      </c>
      <c r="F69" s="82" t="s">
        <v>436</v>
      </c>
      <c r="G69" s="83">
        <v>17.18</v>
      </c>
      <c r="H69" s="245" t="s">
        <v>79</v>
      </c>
      <c r="I69" s="246">
        <f>VLOOKUP($H69,Leistungswerte!$A$8:$E$54,3,FALSE)</f>
        <v>5</v>
      </c>
      <c r="J69" s="246">
        <f>VLOOKUP($H69,Leistungswerte!$A$8:$E$54,4,FALSE)</f>
        <v>0</v>
      </c>
      <c r="K69" s="246">
        <f>VLOOKUP($H69,Leistungswerte!$A$8:$E$54,5,FALSE)</f>
        <v>0</v>
      </c>
      <c r="L69" s="83">
        <f t="shared" si="6"/>
        <v>3332.92</v>
      </c>
      <c r="M69" s="247">
        <f>VLOOKUP($H69,Leistungswerte!$A$8:$F$54,$P$2,FALSE)</f>
        <v>0</v>
      </c>
      <c r="N69" s="84">
        <f t="shared" si="7"/>
        <v>0</v>
      </c>
      <c r="O69" s="80">
        <f t="shared" si="8"/>
        <v>0</v>
      </c>
      <c r="P69" s="248">
        <f t="shared" ca="1" si="0"/>
        <v>0</v>
      </c>
      <c r="Q69" s="85">
        <f t="shared" ca="1" si="9"/>
        <v>0</v>
      </c>
      <c r="R69" s="41"/>
    </row>
    <row r="70" spans="1:18" ht="24" customHeight="1" x14ac:dyDescent="0.2">
      <c r="A70" s="81">
        <f t="shared" si="1"/>
        <v>48</v>
      </c>
      <c r="B70" s="82" t="s">
        <v>289</v>
      </c>
      <c r="C70" s="82"/>
      <c r="D70" s="151"/>
      <c r="E70" s="82" t="s">
        <v>273</v>
      </c>
      <c r="F70" s="82" t="s">
        <v>434</v>
      </c>
      <c r="G70" s="83">
        <v>4.3099999999999996</v>
      </c>
      <c r="H70" s="245" t="s">
        <v>16</v>
      </c>
      <c r="I70" s="246">
        <f>VLOOKUP($H70,Leistungswerte!$A$8:$E$54,3,FALSE)</f>
        <v>0</v>
      </c>
      <c r="J70" s="246">
        <f>VLOOKUP($H70,Leistungswerte!$A$8:$E$54,4,FALSE)</f>
        <v>0</v>
      </c>
      <c r="K70" s="246">
        <f>VLOOKUP($H70,Leistungswerte!$A$8:$E$54,5,FALSE)</f>
        <v>0</v>
      </c>
      <c r="L70" s="83">
        <f t="shared" si="6"/>
        <v>0</v>
      </c>
      <c r="M70" s="247">
        <f>VLOOKUP($H70,Leistungswerte!$A$8:$F$54,$P$2,FALSE)</f>
        <v>0</v>
      </c>
      <c r="N70" s="84">
        <f t="shared" si="7"/>
        <v>0</v>
      </c>
      <c r="O70" s="80">
        <f t="shared" si="8"/>
        <v>0</v>
      </c>
      <c r="P70" s="248">
        <f t="shared" ca="1" si="0"/>
        <v>0</v>
      </c>
      <c r="Q70" s="85">
        <f t="shared" ca="1" si="9"/>
        <v>0</v>
      </c>
      <c r="R70" s="41"/>
    </row>
    <row r="71" spans="1:18" ht="24" customHeight="1" x14ac:dyDescent="0.2">
      <c r="A71" s="81">
        <f t="shared" si="1"/>
        <v>49</v>
      </c>
      <c r="B71" s="82" t="s">
        <v>289</v>
      </c>
      <c r="C71" s="82"/>
      <c r="D71" s="151" t="s">
        <v>164</v>
      </c>
      <c r="E71" s="82" t="s">
        <v>299</v>
      </c>
      <c r="F71" s="82" t="s">
        <v>434</v>
      </c>
      <c r="G71" s="83">
        <v>56.87</v>
      </c>
      <c r="H71" s="245" t="s">
        <v>91</v>
      </c>
      <c r="I71" s="246">
        <f>VLOOKUP($H71,Leistungswerte!$A$8:$E$54,3,FALSE)</f>
        <v>5</v>
      </c>
      <c r="J71" s="246">
        <f>VLOOKUP($H71,Leistungswerte!$A$8:$E$54,4,FALSE)</f>
        <v>0</v>
      </c>
      <c r="K71" s="246">
        <f>VLOOKUP($H71,Leistungswerte!$A$8:$E$54,5,FALSE)</f>
        <v>0</v>
      </c>
      <c r="L71" s="83">
        <f t="shared" si="6"/>
        <v>11032.779999999999</v>
      </c>
      <c r="M71" s="247">
        <f>VLOOKUP($H71,Leistungswerte!$A$8:$F$54,$P$2,FALSE)</f>
        <v>0</v>
      </c>
      <c r="N71" s="84">
        <f t="shared" si="7"/>
        <v>0</v>
      </c>
      <c r="O71" s="80">
        <f t="shared" si="8"/>
        <v>0</v>
      </c>
      <c r="P71" s="248">
        <f t="shared" ca="1" si="0"/>
        <v>0</v>
      </c>
      <c r="Q71" s="85">
        <f t="shared" ca="1" si="9"/>
        <v>0</v>
      </c>
      <c r="R71" s="41"/>
    </row>
    <row r="72" spans="1:18" ht="24" customHeight="1" x14ac:dyDescent="0.2">
      <c r="A72" s="81">
        <f t="shared" si="1"/>
        <v>50</v>
      </c>
      <c r="B72" s="82" t="s">
        <v>289</v>
      </c>
      <c r="C72" s="82"/>
      <c r="D72" s="151">
        <v>2</v>
      </c>
      <c r="E72" s="82" t="s">
        <v>299</v>
      </c>
      <c r="F72" s="82" t="s">
        <v>434</v>
      </c>
      <c r="G72" s="83">
        <v>56.44</v>
      </c>
      <c r="H72" s="245" t="s">
        <v>91</v>
      </c>
      <c r="I72" s="246">
        <f>VLOOKUP($H72,Leistungswerte!$A$8:$E$54,3,FALSE)</f>
        <v>5</v>
      </c>
      <c r="J72" s="246">
        <f>VLOOKUP($H72,Leistungswerte!$A$8:$E$54,4,FALSE)</f>
        <v>0</v>
      </c>
      <c r="K72" s="246">
        <f>VLOOKUP($H72,Leistungswerte!$A$8:$E$54,5,FALSE)</f>
        <v>0</v>
      </c>
      <c r="L72" s="83">
        <f t="shared" si="6"/>
        <v>10949.359999999999</v>
      </c>
      <c r="M72" s="247">
        <f>VLOOKUP($H72,Leistungswerte!$A$8:$F$54,$P$2,FALSE)</f>
        <v>0</v>
      </c>
      <c r="N72" s="84">
        <f t="shared" si="7"/>
        <v>0</v>
      </c>
      <c r="O72" s="80">
        <f t="shared" si="8"/>
        <v>0</v>
      </c>
      <c r="P72" s="248">
        <f t="shared" ca="1" si="0"/>
        <v>0</v>
      </c>
      <c r="Q72" s="85">
        <f t="shared" ca="1" si="9"/>
        <v>0</v>
      </c>
      <c r="R72" s="41"/>
    </row>
    <row r="73" spans="1:18" ht="24" customHeight="1" x14ac:dyDescent="0.2">
      <c r="A73" s="81">
        <f t="shared" si="1"/>
        <v>51</v>
      </c>
      <c r="B73" s="82" t="s">
        <v>289</v>
      </c>
      <c r="C73" s="82"/>
      <c r="D73" s="151">
        <v>3</v>
      </c>
      <c r="E73" s="82" t="s">
        <v>299</v>
      </c>
      <c r="F73" s="82" t="s">
        <v>434</v>
      </c>
      <c r="G73" s="83">
        <v>56.59</v>
      </c>
      <c r="H73" s="245" t="s">
        <v>91</v>
      </c>
      <c r="I73" s="246">
        <f>VLOOKUP($H73,Leistungswerte!$A$8:$E$54,3,FALSE)</f>
        <v>5</v>
      </c>
      <c r="J73" s="246">
        <f>VLOOKUP($H73,Leistungswerte!$A$8:$E$54,4,FALSE)</f>
        <v>0</v>
      </c>
      <c r="K73" s="246">
        <f>VLOOKUP($H73,Leistungswerte!$A$8:$E$54,5,FALSE)</f>
        <v>0</v>
      </c>
      <c r="L73" s="83">
        <f t="shared" si="6"/>
        <v>10978.460000000001</v>
      </c>
      <c r="M73" s="247">
        <f>VLOOKUP($H73,Leistungswerte!$A$8:$F$54,$P$2,FALSE)</f>
        <v>0</v>
      </c>
      <c r="N73" s="84">
        <f t="shared" si="7"/>
        <v>0</v>
      </c>
      <c r="O73" s="80">
        <f t="shared" si="8"/>
        <v>0</v>
      </c>
      <c r="P73" s="248">
        <f t="shared" ca="1" si="0"/>
        <v>0</v>
      </c>
      <c r="Q73" s="85">
        <f t="shared" ca="1" si="9"/>
        <v>0</v>
      </c>
      <c r="R73" s="41"/>
    </row>
    <row r="74" spans="1:18" ht="24" customHeight="1" x14ac:dyDescent="0.2">
      <c r="A74" s="81">
        <f t="shared" si="1"/>
        <v>52</v>
      </c>
      <c r="B74" s="82" t="s">
        <v>289</v>
      </c>
      <c r="C74" s="82"/>
      <c r="D74" s="151">
        <v>4</v>
      </c>
      <c r="E74" s="82" t="s">
        <v>299</v>
      </c>
      <c r="F74" s="82" t="s">
        <v>434</v>
      </c>
      <c r="G74" s="83">
        <v>56.5</v>
      </c>
      <c r="H74" s="245" t="s">
        <v>91</v>
      </c>
      <c r="I74" s="246">
        <f>VLOOKUP($H74,Leistungswerte!$A$8:$E$54,3,FALSE)</f>
        <v>5</v>
      </c>
      <c r="J74" s="246">
        <f>VLOOKUP($H74,Leistungswerte!$A$8:$E$54,4,FALSE)</f>
        <v>0</v>
      </c>
      <c r="K74" s="246">
        <f>VLOOKUP($H74,Leistungswerte!$A$8:$E$54,5,FALSE)</f>
        <v>0</v>
      </c>
      <c r="L74" s="83">
        <f t="shared" si="6"/>
        <v>10961</v>
      </c>
      <c r="M74" s="247">
        <f>VLOOKUP($H74,Leistungswerte!$A$8:$F$54,$P$2,FALSE)</f>
        <v>0</v>
      </c>
      <c r="N74" s="84">
        <f t="shared" si="7"/>
        <v>0</v>
      </c>
      <c r="O74" s="80">
        <f t="shared" si="8"/>
        <v>0</v>
      </c>
      <c r="P74" s="248">
        <f t="shared" ca="1" si="0"/>
        <v>0</v>
      </c>
      <c r="Q74" s="85">
        <f t="shared" ca="1" si="9"/>
        <v>0</v>
      </c>
      <c r="R74" s="41"/>
    </row>
    <row r="75" spans="1:18" ht="24" customHeight="1" x14ac:dyDescent="0.2">
      <c r="A75" s="81">
        <f t="shared" si="1"/>
        <v>53</v>
      </c>
      <c r="B75" s="82" t="s">
        <v>289</v>
      </c>
      <c r="C75" s="82"/>
      <c r="D75" s="151">
        <v>5</v>
      </c>
      <c r="E75" s="82" t="s">
        <v>299</v>
      </c>
      <c r="F75" s="82" t="s">
        <v>434</v>
      </c>
      <c r="G75" s="83">
        <v>56.28</v>
      </c>
      <c r="H75" s="245" t="s">
        <v>91</v>
      </c>
      <c r="I75" s="246">
        <f>VLOOKUP($H75,Leistungswerte!$A$8:$E$54,3,FALSE)</f>
        <v>5</v>
      </c>
      <c r="J75" s="246">
        <f>VLOOKUP($H75,Leistungswerte!$A$8:$E$54,4,FALSE)</f>
        <v>0</v>
      </c>
      <c r="K75" s="246">
        <f>VLOOKUP($H75,Leistungswerte!$A$8:$E$54,5,FALSE)</f>
        <v>0</v>
      </c>
      <c r="L75" s="83">
        <f t="shared" si="6"/>
        <v>10918.32</v>
      </c>
      <c r="M75" s="247">
        <f>VLOOKUP($H75,Leistungswerte!$A$8:$F$54,$P$2,FALSE)</f>
        <v>0</v>
      </c>
      <c r="N75" s="84">
        <f t="shared" si="7"/>
        <v>0</v>
      </c>
      <c r="O75" s="80">
        <f t="shared" si="8"/>
        <v>0</v>
      </c>
      <c r="P75" s="248">
        <f t="shared" ca="1" si="0"/>
        <v>0</v>
      </c>
      <c r="Q75" s="85">
        <f t="shared" ca="1" si="9"/>
        <v>0</v>
      </c>
      <c r="R75" s="41"/>
    </row>
    <row r="76" spans="1:18" ht="24" customHeight="1" x14ac:dyDescent="0.2">
      <c r="A76" s="81">
        <f t="shared" si="1"/>
        <v>54</v>
      </c>
      <c r="B76" s="82" t="s">
        <v>289</v>
      </c>
      <c r="C76" s="82"/>
      <c r="D76" s="151">
        <v>6</v>
      </c>
      <c r="E76" s="82" t="s">
        <v>299</v>
      </c>
      <c r="F76" s="82" t="s">
        <v>434</v>
      </c>
      <c r="G76" s="83">
        <v>56.48</v>
      </c>
      <c r="H76" s="245" t="s">
        <v>91</v>
      </c>
      <c r="I76" s="246">
        <f>VLOOKUP($H76,Leistungswerte!$A$8:$E$54,3,FALSE)</f>
        <v>5</v>
      </c>
      <c r="J76" s="246">
        <f>VLOOKUP($H76,Leistungswerte!$A$8:$E$54,4,FALSE)</f>
        <v>0</v>
      </c>
      <c r="K76" s="246">
        <f>VLOOKUP($H76,Leistungswerte!$A$8:$E$54,5,FALSE)</f>
        <v>0</v>
      </c>
      <c r="L76" s="83">
        <f t="shared" si="6"/>
        <v>10957.119999999999</v>
      </c>
      <c r="M76" s="247">
        <f>VLOOKUP($H76,Leistungswerte!$A$8:$F$54,$P$2,FALSE)</f>
        <v>0</v>
      </c>
      <c r="N76" s="84">
        <f t="shared" si="7"/>
        <v>0</v>
      </c>
      <c r="O76" s="80">
        <f t="shared" si="8"/>
        <v>0</v>
      </c>
      <c r="P76" s="248">
        <f t="shared" ca="1" si="0"/>
        <v>0</v>
      </c>
      <c r="Q76" s="85">
        <f t="shared" ca="1" si="9"/>
        <v>0</v>
      </c>
      <c r="R76" s="41"/>
    </row>
    <row r="77" spans="1:18" ht="24" customHeight="1" x14ac:dyDescent="0.2">
      <c r="A77" s="81">
        <f t="shared" si="1"/>
        <v>55</v>
      </c>
      <c r="B77" s="82" t="s">
        <v>289</v>
      </c>
      <c r="C77" s="82"/>
      <c r="D77" s="151">
        <v>7</v>
      </c>
      <c r="E77" s="82" t="s">
        <v>299</v>
      </c>
      <c r="F77" s="82" t="s">
        <v>434</v>
      </c>
      <c r="G77" s="83">
        <v>56.27</v>
      </c>
      <c r="H77" s="245" t="s">
        <v>91</v>
      </c>
      <c r="I77" s="246">
        <f>VLOOKUP($H77,Leistungswerte!$A$8:$E$54,3,FALSE)</f>
        <v>5</v>
      </c>
      <c r="J77" s="246">
        <f>VLOOKUP($H77,Leistungswerte!$A$8:$E$54,4,FALSE)</f>
        <v>0</v>
      </c>
      <c r="K77" s="246">
        <f>VLOOKUP($H77,Leistungswerte!$A$8:$E$54,5,FALSE)</f>
        <v>0</v>
      </c>
      <c r="L77" s="83">
        <f t="shared" si="6"/>
        <v>10916.380000000001</v>
      </c>
      <c r="M77" s="247">
        <f>VLOOKUP($H77,Leistungswerte!$A$8:$F$54,$P$2,FALSE)</f>
        <v>0</v>
      </c>
      <c r="N77" s="84">
        <f t="shared" si="7"/>
        <v>0</v>
      </c>
      <c r="O77" s="80">
        <f t="shared" si="8"/>
        <v>0</v>
      </c>
      <c r="P77" s="248">
        <f t="shared" ca="1" si="0"/>
        <v>0</v>
      </c>
      <c r="Q77" s="85">
        <f t="shared" ca="1" si="9"/>
        <v>0</v>
      </c>
      <c r="R77" s="41"/>
    </row>
    <row r="78" spans="1:18" ht="24" customHeight="1" x14ac:dyDescent="0.2">
      <c r="A78" s="81">
        <f t="shared" si="1"/>
        <v>56</v>
      </c>
      <c r="B78" s="82" t="s">
        <v>289</v>
      </c>
      <c r="C78" s="82"/>
      <c r="D78" s="151">
        <v>8</v>
      </c>
      <c r="E78" s="82" t="s">
        <v>299</v>
      </c>
      <c r="F78" s="82" t="s">
        <v>434</v>
      </c>
      <c r="G78" s="83">
        <v>57.09</v>
      </c>
      <c r="H78" s="245" t="s">
        <v>91</v>
      </c>
      <c r="I78" s="246">
        <f>VLOOKUP($H78,Leistungswerte!$A$8:$E$54,3,FALSE)</f>
        <v>5</v>
      </c>
      <c r="J78" s="246">
        <f>VLOOKUP($H78,Leistungswerte!$A$8:$E$54,4,FALSE)</f>
        <v>0</v>
      </c>
      <c r="K78" s="246">
        <f>VLOOKUP($H78,Leistungswerte!$A$8:$E$54,5,FALSE)</f>
        <v>0</v>
      </c>
      <c r="L78" s="83">
        <f t="shared" si="6"/>
        <v>11075.460000000001</v>
      </c>
      <c r="M78" s="247">
        <f>VLOOKUP($H78,Leistungswerte!$A$8:$F$54,$P$2,FALSE)</f>
        <v>0</v>
      </c>
      <c r="N78" s="84">
        <f t="shared" si="7"/>
        <v>0</v>
      </c>
      <c r="O78" s="80">
        <f t="shared" si="8"/>
        <v>0</v>
      </c>
      <c r="P78" s="248">
        <f t="shared" ca="1" si="0"/>
        <v>0</v>
      </c>
      <c r="Q78" s="85">
        <f t="shared" ca="1" si="9"/>
        <v>0</v>
      </c>
      <c r="R78" s="41"/>
    </row>
    <row r="79" spans="1:18" ht="24" customHeight="1" x14ac:dyDescent="0.2">
      <c r="A79" s="81">
        <f t="shared" si="1"/>
        <v>57</v>
      </c>
      <c r="B79" s="82" t="s">
        <v>276</v>
      </c>
      <c r="C79" s="82" t="s">
        <v>277</v>
      </c>
      <c r="D79" s="151"/>
      <c r="E79" s="82" t="s">
        <v>279</v>
      </c>
      <c r="F79" s="82" t="s">
        <v>434</v>
      </c>
      <c r="G79" s="83">
        <v>22.02</v>
      </c>
      <c r="H79" s="245" t="s">
        <v>81</v>
      </c>
      <c r="I79" s="246">
        <f>VLOOKUP($H79,Leistungswerte!$A$8:$E$54,3,FALSE)</f>
        <v>0</v>
      </c>
      <c r="J79" s="246">
        <f>VLOOKUP($H79,Leistungswerte!$A$8:$E$54,4,FALSE)</f>
        <v>0</v>
      </c>
      <c r="K79" s="246">
        <f>VLOOKUP($H79,Leistungswerte!$A$8:$E$54,5,FALSE)</f>
        <v>4</v>
      </c>
      <c r="L79" s="83">
        <f t="shared" si="6"/>
        <v>88.08</v>
      </c>
      <c r="M79" s="247">
        <f>VLOOKUP($H79,Leistungswerte!$A$8:$F$54,$P$2,FALSE)</f>
        <v>0</v>
      </c>
      <c r="N79" s="84">
        <f t="shared" si="7"/>
        <v>0</v>
      </c>
      <c r="O79" s="80">
        <f t="shared" si="8"/>
        <v>0</v>
      </c>
      <c r="P79" s="248">
        <f t="shared" ca="1" si="0"/>
        <v>0</v>
      </c>
      <c r="Q79" s="85">
        <f t="shared" ca="1" si="9"/>
        <v>0</v>
      </c>
      <c r="R79" s="41"/>
    </row>
    <row r="80" spans="1:18" ht="24" customHeight="1" x14ac:dyDescent="0.2">
      <c r="A80" s="81">
        <f t="shared" si="1"/>
        <v>58</v>
      </c>
      <c r="B80" s="82" t="s">
        <v>276</v>
      </c>
      <c r="C80" s="82" t="s">
        <v>277</v>
      </c>
      <c r="D80" s="151"/>
      <c r="E80" s="82" t="s">
        <v>296</v>
      </c>
      <c r="F80" s="82" t="s">
        <v>434</v>
      </c>
      <c r="G80" s="83">
        <v>72.66</v>
      </c>
      <c r="H80" s="245" t="s">
        <v>72</v>
      </c>
      <c r="I80" s="246">
        <f>VLOOKUP($H80,Leistungswerte!$A$8:$E$54,3,FALSE)</f>
        <v>5</v>
      </c>
      <c r="J80" s="246">
        <f>VLOOKUP($H80,Leistungswerte!$A$8:$E$54,4,FALSE)</f>
        <v>0</v>
      </c>
      <c r="K80" s="246">
        <f>VLOOKUP($H80,Leistungswerte!$A$8:$E$54,5,FALSE)</f>
        <v>0</v>
      </c>
      <c r="L80" s="83">
        <f t="shared" si="6"/>
        <v>14096.039999999999</v>
      </c>
      <c r="M80" s="247">
        <f>VLOOKUP($H80,Leistungswerte!$A$8:$F$54,$P$2,FALSE)</f>
        <v>0</v>
      </c>
      <c r="N80" s="84">
        <f t="shared" si="7"/>
        <v>0</v>
      </c>
      <c r="O80" s="80">
        <f t="shared" si="8"/>
        <v>0</v>
      </c>
      <c r="P80" s="248">
        <f t="shared" ca="1" si="0"/>
        <v>0</v>
      </c>
      <c r="Q80" s="85">
        <f t="shared" ca="1" si="9"/>
        <v>0</v>
      </c>
      <c r="R80" s="41"/>
    </row>
    <row r="81" spans="1:18" ht="24" customHeight="1" x14ac:dyDescent="0.2">
      <c r="A81" s="81">
        <f t="shared" si="1"/>
        <v>59</v>
      </c>
      <c r="B81" s="82" t="s">
        <v>276</v>
      </c>
      <c r="C81" s="82" t="s">
        <v>277</v>
      </c>
      <c r="D81" s="151"/>
      <c r="E81" s="82" t="s">
        <v>268</v>
      </c>
      <c r="F81" s="82" t="s">
        <v>434</v>
      </c>
      <c r="G81" s="83">
        <v>9.8800000000000008</v>
      </c>
      <c r="H81" s="245" t="s">
        <v>75</v>
      </c>
      <c r="I81" s="246">
        <f>VLOOKUP($H81,Leistungswerte!$A$8:$E$54,3,FALSE)</f>
        <v>5</v>
      </c>
      <c r="J81" s="246">
        <f>VLOOKUP($H81,Leistungswerte!$A$8:$E$54,4,FALSE)</f>
        <v>0</v>
      </c>
      <c r="K81" s="246">
        <f>VLOOKUP($H81,Leistungswerte!$A$8:$E$54,5,FALSE)</f>
        <v>0</v>
      </c>
      <c r="L81" s="83">
        <f t="shared" si="6"/>
        <v>1916.7200000000003</v>
      </c>
      <c r="M81" s="247">
        <f>VLOOKUP($H81,Leistungswerte!$A$8:$F$54,$P$2,FALSE)</f>
        <v>0</v>
      </c>
      <c r="N81" s="84">
        <f t="shared" si="7"/>
        <v>0</v>
      </c>
      <c r="O81" s="80">
        <f t="shared" si="8"/>
        <v>0</v>
      </c>
      <c r="P81" s="248">
        <f t="shared" ca="1" si="0"/>
        <v>0</v>
      </c>
      <c r="Q81" s="85">
        <f t="shared" ca="1" si="9"/>
        <v>0</v>
      </c>
      <c r="R81" s="41"/>
    </row>
    <row r="82" spans="1:18" ht="24" customHeight="1" x14ac:dyDescent="0.2">
      <c r="A82" s="81">
        <f t="shared" si="1"/>
        <v>60</v>
      </c>
      <c r="B82" s="82" t="s">
        <v>276</v>
      </c>
      <c r="C82" s="82" t="s">
        <v>277</v>
      </c>
      <c r="D82" s="151"/>
      <c r="E82" s="82" t="s">
        <v>280</v>
      </c>
      <c r="F82" s="82" t="s">
        <v>434</v>
      </c>
      <c r="G82" s="83">
        <v>108.33</v>
      </c>
      <c r="H82" s="245" t="s">
        <v>80</v>
      </c>
      <c r="I82" s="246">
        <f>VLOOKUP($H82,Leistungswerte!$A$8:$E$54,3,FALSE)</f>
        <v>5</v>
      </c>
      <c r="J82" s="246">
        <f>VLOOKUP($H82,Leistungswerte!$A$8:$E$54,4,FALSE)</f>
        <v>0</v>
      </c>
      <c r="K82" s="246">
        <f>VLOOKUP($H82,Leistungswerte!$A$8:$E$54,5,FALSE)</f>
        <v>0</v>
      </c>
      <c r="L82" s="83">
        <f t="shared" si="6"/>
        <v>21016.02</v>
      </c>
      <c r="M82" s="247">
        <f>VLOOKUP($H82,Leistungswerte!$A$8:$F$54,$P$2,FALSE)</f>
        <v>0</v>
      </c>
      <c r="N82" s="84">
        <f t="shared" si="7"/>
        <v>0</v>
      </c>
      <c r="O82" s="80">
        <f t="shared" si="8"/>
        <v>0</v>
      </c>
      <c r="P82" s="248">
        <f t="shared" ca="1" si="0"/>
        <v>0</v>
      </c>
      <c r="Q82" s="85">
        <f t="shared" ca="1" si="9"/>
        <v>0</v>
      </c>
      <c r="R82" s="41"/>
    </row>
    <row r="83" spans="1:18" ht="24" customHeight="1" x14ac:dyDescent="0.2">
      <c r="A83" s="81">
        <f t="shared" si="1"/>
        <v>61</v>
      </c>
      <c r="B83" s="82" t="s">
        <v>276</v>
      </c>
      <c r="C83" s="82" t="s">
        <v>277</v>
      </c>
      <c r="D83" s="151"/>
      <c r="E83" s="82" t="s">
        <v>267</v>
      </c>
      <c r="F83" s="82" t="s">
        <v>436</v>
      </c>
      <c r="G83" s="83">
        <v>4.66</v>
      </c>
      <c r="H83" s="245" t="s">
        <v>84</v>
      </c>
      <c r="I83" s="246">
        <f>VLOOKUP($H83,Leistungswerte!$A$8:$E$54,3,FALSE)</f>
        <v>5</v>
      </c>
      <c r="J83" s="246">
        <f>VLOOKUP($H83,Leistungswerte!$A$8:$E$54,4,FALSE)</f>
        <v>0</v>
      </c>
      <c r="K83" s="246">
        <f>VLOOKUP($H83,Leistungswerte!$A$8:$E$54,5,FALSE)</f>
        <v>0</v>
      </c>
      <c r="L83" s="83">
        <f t="shared" si="6"/>
        <v>904.04000000000008</v>
      </c>
      <c r="M83" s="247">
        <f>VLOOKUP($H83,Leistungswerte!$A$8:$F$54,$P$2,FALSE)</f>
        <v>0</v>
      </c>
      <c r="N83" s="84">
        <f t="shared" si="7"/>
        <v>0</v>
      </c>
      <c r="O83" s="80">
        <f t="shared" si="8"/>
        <v>0</v>
      </c>
      <c r="P83" s="248">
        <f t="shared" ca="1" si="0"/>
        <v>0</v>
      </c>
      <c r="Q83" s="85">
        <f t="shared" ca="1" si="9"/>
        <v>0</v>
      </c>
      <c r="R83" s="41"/>
    </row>
    <row r="84" spans="1:18" ht="24" customHeight="1" x14ac:dyDescent="0.2">
      <c r="A84" s="81">
        <f t="shared" si="1"/>
        <v>62</v>
      </c>
      <c r="B84" s="82" t="s">
        <v>276</v>
      </c>
      <c r="C84" s="82" t="s">
        <v>277</v>
      </c>
      <c r="D84" s="151"/>
      <c r="E84" s="82" t="s">
        <v>271</v>
      </c>
      <c r="F84" s="82" t="s">
        <v>434</v>
      </c>
      <c r="G84" s="83">
        <v>3.27</v>
      </c>
      <c r="H84" s="245" t="s">
        <v>16</v>
      </c>
      <c r="I84" s="246">
        <f>VLOOKUP($H84,Leistungswerte!$A$8:$E$54,3,FALSE)</f>
        <v>0</v>
      </c>
      <c r="J84" s="246">
        <f>VLOOKUP($H84,Leistungswerte!$A$8:$E$54,4,FALSE)</f>
        <v>0</v>
      </c>
      <c r="K84" s="246">
        <f>VLOOKUP($H84,Leistungswerte!$A$8:$E$54,5,FALSE)</f>
        <v>0</v>
      </c>
      <c r="L84" s="409" t="s">
        <v>504</v>
      </c>
      <c r="M84" s="410"/>
      <c r="N84" s="410"/>
      <c r="O84" s="410"/>
      <c r="P84" s="410"/>
      <c r="Q84" s="411"/>
      <c r="R84" s="41"/>
    </row>
    <row r="85" spans="1:18" ht="24" customHeight="1" x14ac:dyDescent="0.2">
      <c r="A85" s="81">
        <f t="shared" si="1"/>
        <v>63</v>
      </c>
      <c r="B85" s="82" t="s">
        <v>276</v>
      </c>
      <c r="C85" s="82" t="s">
        <v>277</v>
      </c>
      <c r="D85" s="151"/>
      <c r="E85" s="82" t="s">
        <v>270</v>
      </c>
      <c r="F85" s="82" t="s">
        <v>436</v>
      </c>
      <c r="G85" s="83">
        <v>19.48</v>
      </c>
      <c r="H85" s="245" t="s">
        <v>16</v>
      </c>
      <c r="I85" s="246">
        <f>VLOOKUP($H85,Leistungswerte!$A$8:$E$54,3,FALSE)</f>
        <v>0</v>
      </c>
      <c r="J85" s="246">
        <f>VLOOKUP($H85,Leistungswerte!$A$8:$E$54,4,FALSE)</f>
        <v>0</v>
      </c>
      <c r="K85" s="246">
        <f>VLOOKUP($H85,Leistungswerte!$A$8:$E$54,5,FALSE)</f>
        <v>0</v>
      </c>
      <c r="L85" s="409" t="s">
        <v>504</v>
      </c>
      <c r="M85" s="410"/>
      <c r="N85" s="410"/>
      <c r="O85" s="410"/>
      <c r="P85" s="410"/>
      <c r="Q85" s="411"/>
      <c r="R85" s="41"/>
    </row>
    <row r="86" spans="1:18" ht="24" customHeight="1" x14ac:dyDescent="0.2">
      <c r="A86" s="81">
        <f t="shared" si="1"/>
        <v>64</v>
      </c>
      <c r="B86" s="82" t="s">
        <v>276</v>
      </c>
      <c r="C86" s="82" t="s">
        <v>277</v>
      </c>
      <c r="D86" s="151"/>
      <c r="E86" s="82" t="s">
        <v>268</v>
      </c>
      <c r="F86" s="82" t="s">
        <v>436</v>
      </c>
      <c r="G86" s="83">
        <v>13.58</v>
      </c>
      <c r="H86" s="245" t="s">
        <v>16</v>
      </c>
      <c r="I86" s="246">
        <f>VLOOKUP($H86,Leistungswerte!$A$8:$E$54,3,FALSE)</f>
        <v>0</v>
      </c>
      <c r="J86" s="246">
        <f>VLOOKUP($H86,Leistungswerte!$A$8:$E$54,4,FALSE)</f>
        <v>0</v>
      </c>
      <c r="K86" s="246">
        <f>VLOOKUP($H86,Leistungswerte!$A$8:$E$54,5,FALSE)</f>
        <v>0</v>
      </c>
      <c r="L86" s="409" t="s">
        <v>504</v>
      </c>
      <c r="M86" s="410"/>
      <c r="N86" s="410"/>
      <c r="O86" s="410"/>
      <c r="P86" s="410"/>
      <c r="Q86" s="411"/>
      <c r="R86" s="41"/>
    </row>
    <row r="87" spans="1:18" ht="24" customHeight="1" x14ac:dyDescent="0.2">
      <c r="A87" s="81">
        <f t="shared" si="1"/>
        <v>65</v>
      </c>
      <c r="B87" s="82" t="s">
        <v>276</v>
      </c>
      <c r="C87" s="82" t="s">
        <v>277</v>
      </c>
      <c r="D87" s="151"/>
      <c r="E87" s="82" t="s">
        <v>333</v>
      </c>
      <c r="F87" s="82" t="s">
        <v>436</v>
      </c>
      <c r="G87" s="83">
        <v>2.88</v>
      </c>
      <c r="H87" s="245" t="s">
        <v>16</v>
      </c>
      <c r="I87" s="246">
        <f>VLOOKUP($H87,Leistungswerte!$A$8:$E$54,3,FALSE)</f>
        <v>0</v>
      </c>
      <c r="J87" s="246">
        <f>VLOOKUP($H87,Leistungswerte!$A$8:$E$54,4,FALSE)</f>
        <v>0</v>
      </c>
      <c r="K87" s="246">
        <f>VLOOKUP($H87,Leistungswerte!$A$8:$E$54,5,FALSE)</f>
        <v>0</v>
      </c>
      <c r="L87" s="409" t="s">
        <v>504</v>
      </c>
      <c r="M87" s="410"/>
      <c r="N87" s="410"/>
      <c r="O87" s="410"/>
      <c r="P87" s="410"/>
      <c r="Q87" s="411"/>
      <c r="R87" s="41"/>
    </row>
    <row r="88" spans="1:18" ht="24" customHeight="1" x14ac:dyDescent="0.2">
      <c r="A88" s="81">
        <f t="shared" ref="A88:A92" si="10">A87+1</f>
        <v>66</v>
      </c>
      <c r="B88" s="82" t="s">
        <v>276</v>
      </c>
      <c r="C88" s="82" t="s">
        <v>277</v>
      </c>
      <c r="D88" s="151"/>
      <c r="E88" s="82" t="s">
        <v>286</v>
      </c>
      <c r="F88" s="82" t="s">
        <v>436</v>
      </c>
      <c r="G88" s="83">
        <v>2.4700000000000002</v>
      </c>
      <c r="H88" s="245" t="s">
        <v>16</v>
      </c>
      <c r="I88" s="246">
        <f>VLOOKUP($H88,Leistungswerte!$A$8:$E$54,3,FALSE)</f>
        <v>0</v>
      </c>
      <c r="J88" s="246">
        <f>VLOOKUP($H88,Leistungswerte!$A$8:$E$54,4,FALSE)</f>
        <v>0</v>
      </c>
      <c r="K88" s="246">
        <f>VLOOKUP($H88,Leistungswerte!$A$8:$E$54,5,FALSE)</f>
        <v>0</v>
      </c>
      <c r="L88" s="409" t="s">
        <v>504</v>
      </c>
      <c r="M88" s="410"/>
      <c r="N88" s="410"/>
      <c r="O88" s="410"/>
      <c r="P88" s="410"/>
      <c r="Q88" s="411"/>
      <c r="R88" s="41"/>
    </row>
    <row r="89" spans="1:18" ht="24" customHeight="1" x14ac:dyDescent="0.2">
      <c r="A89" s="81">
        <f t="shared" si="10"/>
        <v>67</v>
      </c>
      <c r="B89" s="82" t="s">
        <v>276</v>
      </c>
      <c r="C89" s="82" t="s">
        <v>277</v>
      </c>
      <c r="D89" s="151"/>
      <c r="E89" s="82" t="s">
        <v>334</v>
      </c>
      <c r="F89" s="82" t="s">
        <v>436</v>
      </c>
      <c r="G89" s="83">
        <v>7.21</v>
      </c>
      <c r="H89" s="245" t="s">
        <v>16</v>
      </c>
      <c r="I89" s="246">
        <f>VLOOKUP($H89,Leistungswerte!$A$8:$E$54,3,FALSE)</f>
        <v>0</v>
      </c>
      <c r="J89" s="246">
        <f>VLOOKUP($H89,Leistungswerte!$A$8:$E$54,4,FALSE)</f>
        <v>0</v>
      </c>
      <c r="K89" s="246">
        <f>VLOOKUP($H89,Leistungswerte!$A$8:$E$54,5,FALSE)</f>
        <v>0</v>
      </c>
      <c r="L89" s="409" t="s">
        <v>504</v>
      </c>
      <c r="M89" s="410"/>
      <c r="N89" s="410"/>
      <c r="O89" s="410"/>
      <c r="P89" s="410"/>
      <c r="Q89" s="411"/>
      <c r="R89" s="41"/>
    </row>
    <row r="90" spans="1:18" ht="24" customHeight="1" x14ac:dyDescent="0.2">
      <c r="A90" s="81">
        <f t="shared" si="10"/>
        <v>68</v>
      </c>
      <c r="B90" s="82" t="s">
        <v>276</v>
      </c>
      <c r="C90" s="82" t="s">
        <v>277</v>
      </c>
      <c r="D90" s="151"/>
      <c r="E90" s="82" t="s">
        <v>335</v>
      </c>
      <c r="F90" s="82" t="s">
        <v>436</v>
      </c>
      <c r="G90" s="83">
        <v>7.5</v>
      </c>
      <c r="H90" s="245" t="s">
        <v>16</v>
      </c>
      <c r="I90" s="246">
        <f>VLOOKUP($H90,Leistungswerte!$A$8:$E$54,3,FALSE)</f>
        <v>0</v>
      </c>
      <c r="J90" s="246">
        <f>VLOOKUP($H90,Leistungswerte!$A$8:$E$54,4,FALSE)</f>
        <v>0</v>
      </c>
      <c r="K90" s="246">
        <f>VLOOKUP($H90,Leistungswerte!$A$8:$E$54,5,FALSE)</f>
        <v>0</v>
      </c>
      <c r="L90" s="409" t="s">
        <v>504</v>
      </c>
      <c r="M90" s="410"/>
      <c r="N90" s="410"/>
      <c r="O90" s="410"/>
      <c r="P90" s="410"/>
      <c r="Q90" s="411"/>
      <c r="R90" s="41"/>
    </row>
    <row r="91" spans="1:18" ht="24" customHeight="1" x14ac:dyDescent="0.2">
      <c r="A91" s="81">
        <f t="shared" si="10"/>
        <v>69</v>
      </c>
      <c r="B91" s="82" t="s">
        <v>276</v>
      </c>
      <c r="C91" s="82" t="s">
        <v>277</v>
      </c>
      <c r="D91" s="151"/>
      <c r="E91" s="82" t="s">
        <v>336</v>
      </c>
      <c r="F91" s="82" t="s">
        <v>436</v>
      </c>
      <c r="G91" s="83">
        <v>19.86</v>
      </c>
      <c r="H91" s="245" t="s">
        <v>16</v>
      </c>
      <c r="I91" s="246">
        <f>VLOOKUP($H91,Leistungswerte!$A$8:$E$54,3,FALSE)</f>
        <v>0</v>
      </c>
      <c r="J91" s="246">
        <f>VLOOKUP($H91,Leistungswerte!$A$8:$E$54,4,FALSE)</f>
        <v>0</v>
      </c>
      <c r="K91" s="246">
        <f>VLOOKUP($H91,Leistungswerte!$A$8:$E$54,5,FALSE)</f>
        <v>0</v>
      </c>
      <c r="L91" s="409" t="s">
        <v>504</v>
      </c>
      <c r="M91" s="410"/>
      <c r="N91" s="410"/>
      <c r="O91" s="410"/>
      <c r="P91" s="410"/>
      <c r="Q91" s="411"/>
      <c r="R91" s="41"/>
    </row>
    <row r="92" spans="1:18" ht="27.95" customHeight="1" x14ac:dyDescent="0.2">
      <c r="A92" s="81">
        <f t="shared" si="10"/>
        <v>70</v>
      </c>
      <c r="B92" s="82"/>
      <c r="C92" s="82"/>
      <c r="D92" s="315"/>
      <c r="E92" s="404" t="s">
        <v>490</v>
      </c>
      <c r="F92" s="405"/>
      <c r="G92" s="406"/>
      <c r="H92" s="304"/>
      <c r="I92" s="246"/>
      <c r="J92" s="246"/>
      <c r="K92" s="246">
        <v>4</v>
      </c>
      <c r="L92" s="407" t="s">
        <v>489</v>
      </c>
      <c r="M92" s="408"/>
      <c r="N92" s="316">
        <v>0</v>
      </c>
      <c r="O92" s="80">
        <f>K92*N92*24</f>
        <v>0</v>
      </c>
      <c r="P92" s="248">
        <f t="shared" ref="P92" ca="1" si="11">SVS_UR</f>
        <v>0</v>
      </c>
      <c r="Q92" s="85">
        <f t="shared" ca="1" si="9"/>
        <v>0</v>
      </c>
    </row>
    <row r="93" spans="1:18" ht="3.75" customHeight="1" thickBot="1" x14ac:dyDescent="0.25">
      <c r="A93" s="86"/>
      <c r="B93" s="87"/>
      <c r="C93" s="87"/>
      <c r="D93" s="87"/>
      <c r="E93" s="87"/>
      <c r="F93" s="87"/>
      <c r="G93" s="88"/>
      <c r="H93" s="89"/>
      <c r="I93" s="90"/>
      <c r="J93" s="90"/>
      <c r="K93" s="90"/>
      <c r="L93" s="88"/>
      <c r="M93" s="91"/>
      <c r="N93" s="87"/>
      <c r="O93" s="92"/>
      <c r="P93" s="93"/>
      <c r="Q93" s="94"/>
    </row>
    <row r="94" spans="1:18" s="46" customFormat="1" ht="25.5" customHeight="1" thickBot="1" x14ac:dyDescent="0.25">
      <c r="A94" s="40" t="s">
        <v>47</v>
      </c>
      <c r="B94" s="95"/>
      <c r="C94" s="95"/>
      <c r="D94" s="95"/>
      <c r="E94" s="95"/>
      <c r="F94" s="96"/>
      <c r="G94" s="97">
        <f>SUBTOTAL(9,G23:G93)</f>
        <v>2236.13</v>
      </c>
      <c r="H94" s="98"/>
      <c r="I94" s="99"/>
      <c r="J94" s="99"/>
      <c r="K94" s="99"/>
      <c r="L94" s="97">
        <f>SUBTOTAL(9,L23:L93)</f>
        <v>377501.88800000004</v>
      </c>
      <c r="M94" s="100" t="e">
        <f>L94/O94</f>
        <v>#DIV/0!</v>
      </c>
      <c r="N94" s="95"/>
      <c r="O94" s="101">
        <f>SUBTOTAL(9,O23:O93)</f>
        <v>0</v>
      </c>
      <c r="P94" s="102"/>
      <c r="Q94" s="220">
        <f ca="1">SUBTOTAL(9,Q23:Q93)</f>
        <v>0</v>
      </c>
    </row>
    <row r="96" spans="1:18" ht="13.5" thickBot="1" x14ac:dyDescent="0.25"/>
    <row r="97" spans="1:17" s="58" customFormat="1" x14ac:dyDescent="0.2">
      <c r="A97" s="50" t="s">
        <v>0</v>
      </c>
      <c r="B97" s="51" t="s">
        <v>40</v>
      </c>
      <c r="C97" s="51"/>
      <c r="D97" s="51" t="s">
        <v>41</v>
      </c>
      <c r="E97" s="52" t="s">
        <v>42</v>
      </c>
      <c r="F97" s="52" t="s">
        <v>24</v>
      </c>
      <c r="G97" s="53" t="s">
        <v>25</v>
      </c>
      <c r="H97" s="52" t="s">
        <v>1</v>
      </c>
      <c r="I97" s="396" t="s">
        <v>26</v>
      </c>
      <c r="J97" s="396"/>
      <c r="K97" s="396"/>
      <c r="L97" s="53" t="s">
        <v>33</v>
      </c>
      <c r="M97" s="54" t="s">
        <v>2</v>
      </c>
      <c r="N97" s="52" t="s">
        <v>15</v>
      </c>
      <c r="O97" s="55" t="s">
        <v>30</v>
      </c>
      <c r="P97" s="56" t="s">
        <v>13</v>
      </c>
      <c r="Q97" s="57" t="s">
        <v>31</v>
      </c>
    </row>
    <row r="98" spans="1:17" s="58" customFormat="1" ht="25.5" customHeight="1" thickBot="1" x14ac:dyDescent="0.25">
      <c r="A98" s="59"/>
      <c r="B98" s="60"/>
      <c r="C98" s="60"/>
      <c r="D98" s="60"/>
      <c r="E98" s="61" t="s">
        <v>43</v>
      </c>
      <c r="F98" s="61"/>
      <c r="G98" s="62" t="s">
        <v>32</v>
      </c>
      <c r="H98" s="61"/>
      <c r="I98" s="63" t="s">
        <v>27</v>
      </c>
      <c r="J98" s="63" t="s">
        <v>28</v>
      </c>
      <c r="K98" s="63" t="s">
        <v>29</v>
      </c>
      <c r="L98" s="62" t="s">
        <v>34</v>
      </c>
      <c r="M98" s="64" t="s">
        <v>35</v>
      </c>
      <c r="N98" s="61" t="s">
        <v>36</v>
      </c>
      <c r="O98" s="65" t="s">
        <v>37</v>
      </c>
      <c r="P98" s="66" t="s">
        <v>38</v>
      </c>
      <c r="Q98" s="67" t="s">
        <v>39</v>
      </c>
    </row>
    <row r="99" spans="1:17" ht="3.75" customHeight="1" x14ac:dyDescent="0.2">
      <c r="A99" s="68" t="s">
        <v>21</v>
      </c>
      <c r="B99" s="69" t="s">
        <v>21</v>
      </c>
      <c r="C99" s="69"/>
      <c r="D99" s="69" t="s">
        <v>21</v>
      </c>
      <c r="E99" s="69" t="s">
        <v>21</v>
      </c>
      <c r="F99" s="69" t="s">
        <v>21</v>
      </c>
      <c r="G99" s="70" t="s">
        <v>21</v>
      </c>
      <c r="H99" s="71" t="s">
        <v>21</v>
      </c>
      <c r="I99" s="72" t="s">
        <v>21</v>
      </c>
      <c r="J99" s="72" t="s">
        <v>21</v>
      </c>
      <c r="K99" s="72" t="s">
        <v>21</v>
      </c>
      <c r="L99" s="70" t="s">
        <v>21</v>
      </c>
      <c r="M99" s="73" t="s">
        <v>21</v>
      </c>
      <c r="N99" s="74" t="s">
        <v>21</v>
      </c>
      <c r="O99" s="75" t="s">
        <v>21</v>
      </c>
      <c r="P99" s="76" t="s">
        <v>21</v>
      </c>
      <c r="Q99" s="77" t="s">
        <v>21</v>
      </c>
    </row>
    <row r="100" spans="1:17" ht="24" customHeight="1" x14ac:dyDescent="0.2">
      <c r="A100" s="81">
        <f>A92+1</f>
        <v>71</v>
      </c>
      <c r="B100" s="82"/>
      <c r="C100" s="82"/>
      <c r="D100" s="82"/>
      <c r="E100" s="82" t="s">
        <v>551</v>
      </c>
      <c r="F100" s="82"/>
      <c r="G100" s="83">
        <f>IF($O$5="JA",SUM(G23:G83),0)</f>
        <v>2159.88</v>
      </c>
      <c r="H100" s="78" t="s">
        <v>82</v>
      </c>
      <c r="I100" s="79">
        <f>VLOOKUP($H100,Leistungswerte!$A$8:$E$54,3,FALSE)</f>
        <v>0</v>
      </c>
      <c r="J100" s="79">
        <f>VLOOKUP($H100,Leistungswerte!$A$8:$E$54,4,FALSE)</f>
        <v>0</v>
      </c>
      <c r="K100" s="79">
        <f>VLOOKUP($H100,Leistungswerte!$A$8:$E$54,5,FALSE)</f>
        <v>1</v>
      </c>
      <c r="L100" s="83">
        <f>($G$5/$G$6*I100+J100*12+K100)*G100</f>
        <v>2159.88</v>
      </c>
      <c r="M100" s="163">
        <f>VLOOKUP($H100,Leistungswerte!$A$8:$F$54,$P$2,FALSE)</f>
        <v>0</v>
      </c>
      <c r="N100" s="84">
        <f>IF(M100&lt;&gt;0,G100/M100/24,0)</f>
        <v>0</v>
      </c>
      <c r="O100" s="80">
        <f>IF(M100&lt;&gt;0,L100/M100,0)</f>
        <v>0</v>
      </c>
      <c r="P100" s="162">
        <f ca="1">SVS_GR</f>
        <v>0</v>
      </c>
      <c r="Q100" s="85">
        <f ca="1">O100*P100</f>
        <v>0</v>
      </c>
    </row>
    <row r="101" spans="1:17" ht="3.75" customHeight="1" thickBot="1" x14ac:dyDescent="0.25">
      <c r="A101" s="103"/>
      <c r="B101" s="104"/>
      <c r="C101" s="104"/>
      <c r="D101" s="104"/>
      <c r="E101" s="104"/>
      <c r="F101" s="104"/>
      <c r="G101" s="105"/>
      <c r="H101" s="106"/>
      <c r="I101" s="107"/>
      <c r="J101" s="107"/>
      <c r="K101" s="107"/>
      <c r="L101" s="105"/>
      <c r="M101" s="108"/>
      <c r="N101" s="104"/>
      <c r="O101" s="109"/>
      <c r="P101" s="110"/>
      <c r="Q101" s="111"/>
    </row>
    <row r="102" spans="1:17" s="46" customFormat="1" ht="25.5" customHeight="1" thickBot="1" x14ac:dyDescent="0.25">
      <c r="A102" s="40" t="s">
        <v>58</v>
      </c>
      <c r="B102" s="95"/>
      <c r="C102" s="95"/>
      <c r="D102" s="95"/>
      <c r="E102" s="95"/>
      <c r="F102" s="96"/>
      <c r="G102" s="97">
        <f>SUM(G100:G101)</f>
        <v>2159.88</v>
      </c>
      <c r="H102" s="98"/>
      <c r="I102" s="99"/>
      <c r="J102" s="99"/>
      <c r="K102" s="99"/>
      <c r="L102" s="97">
        <f>SUM(L100:L101)</f>
        <v>2159.88</v>
      </c>
      <c r="M102" s="100" t="e">
        <f>L102/O102</f>
        <v>#DIV/0!</v>
      </c>
      <c r="N102" s="95"/>
      <c r="O102" s="101">
        <f>SUM(O100:O101)</f>
        <v>0</v>
      </c>
      <c r="P102" s="102"/>
      <c r="Q102" s="220">
        <f ca="1">SUM(Q100:Q101)</f>
        <v>0</v>
      </c>
    </row>
    <row r="104" spans="1:17" ht="13.5" thickBot="1" x14ac:dyDescent="0.25"/>
    <row r="105" spans="1:17" ht="18" customHeight="1" thickBot="1" x14ac:dyDescent="0.25">
      <c r="E105" s="397" t="s">
        <v>155</v>
      </c>
      <c r="F105" s="398"/>
      <c r="G105" s="398"/>
      <c r="H105" s="398"/>
      <c r="I105" s="398"/>
      <c r="J105" s="398"/>
      <c r="K105" s="398"/>
      <c r="L105" s="398"/>
      <c r="M105" s="398"/>
      <c r="N105" s="398"/>
      <c r="O105" s="399"/>
    </row>
    <row r="106" spans="1:17" ht="18" customHeight="1" x14ac:dyDescent="0.2">
      <c r="E106" s="277" t="s">
        <v>225</v>
      </c>
      <c r="F106" s="400" t="s">
        <v>318</v>
      </c>
      <c r="G106" s="400"/>
      <c r="H106" s="400"/>
      <c r="I106" s="400"/>
      <c r="J106" s="400"/>
      <c r="K106" s="400"/>
      <c r="L106" s="400"/>
      <c r="M106" s="400"/>
      <c r="N106" s="400"/>
      <c r="O106" s="401"/>
    </row>
    <row r="107" spans="1:17" ht="18" customHeight="1" x14ac:dyDescent="0.2">
      <c r="E107" s="275" t="s">
        <v>226</v>
      </c>
      <c r="F107" s="388" t="s">
        <v>468</v>
      </c>
      <c r="G107" s="388"/>
      <c r="H107" s="388"/>
      <c r="I107" s="388"/>
      <c r="J107" s="388"/>
      <c r="K107" s="388"/>
      <c r="L107" s="388"/>
      <c r="M107" s="388"/>
      <c r="N107" s="388"/>
      <c r="O107" s="389"/>
    </row>
    <row r="108" spans="1:17" ht="18" customHeight="1" x14ac:dyDescent="0.2">
      <c r="E108" s="275" t="s">
        <v>227</v>
      </c>
      <c r="F108" s="388" t="s">
        <v>469</v>
      </c>
      <c r="G108" s="388"/>
      <c r="H108" s="388"/>
      <c r="I108" s="388"/>
      <c r="J108" s="388"/>
      <c r="K108" s="388"/>
      <c r="L108" s="388"/>
      <c r="M108" s="388"/>
      <c r="N108" s="388"/>
      <c r="O108" s="389"/>
    </row>
    <row r="109" spans="1:17" ht="18" customHeight="1" x14ac:dyDescent="0.2">
      <c r="E109" s="275" t="s">
        <v>228</v>
      </c>
      <c r="F109" s="388" t="s">
        <v>69</v>
      </c>
      <c r="G109" s="388"/>
      <c r="H109" s="388"/>
      <c r="I109" s="388"/>
      <c r="J109" s="388"/>
      <c r="K109" s="388"/>
      <c r="L109" s="388"/>
      <c r="M109" s="388"/>
      <c r="N109" s="388"/>
      <c r="O109" s="389"/>
    </row>
    <row r="110" spans="1:17" ht="18" customHeight="1" x14ac:dyDescent="0.2">
      <c r="E110" s="275" t="s">
        <v>229</v>
      </c>
      <c r="F110" s="388" t="s">
        <v>470</v>
      </c>
      <c r="G110" s="388"/>
      <c r="H110" s="388"/>
      <c r="I110" s="388"/>
      <c r="J110" s="388"/>
      <c r="K110" s="388"/>
      <c r="L110" s="388"/>
      <c r="M110" s="388"/>
      <c r="N110" s="388"/>
      <c r="O110" s="389"/>
    </row>
    <row r="111" spans="1:17" ht="18" customHeight="1" x14ac:dyDescent="0.2">
      <c r="E111" s="275" t="s">
        <v>230</v>
      </c>
      <c r="F111" s="388" t="s">
        <v>471</v>
      </c>
      <c r="G111" s="388"/>
      <c r="H111" s="388"/>
      <c r="I111" s="388"/>
      <c r="J111" s="388"/>
      <c r="K111" s="388"/>
      <c r="L111" s="388"/>
      <c r="M111" s="388"/>
      <c r="N111" s="388"/>
      <c r="O111" s="389"/>
    </row>
    <row r="112" spans="1:17" ht="18" customHeight="1" thickBot="1" x14ac:dyDescent="0.25">
      <c r="E112" s="276" t="s">
        <v>231</v>
      </c>
      <c r="F112" s="402" t="s">
        <v>472</v>
      </c>
      <c r="G112" s="402"/>
      <c r="H112" s="402"/>
      <c r="I112" s="402"/>
      <c r="J112" s="402"/>
      <c r="K112" s="402"/>
      <c r="L112" s="402"/>
      <c r="M112" s="402"/>
      <c r="N112" s="402"/>
      <c r="O112" s="403"/>
    </row>
  </sheetData>
  <sheetProtection algorithmName="SHA-512" hashValue="WzQVgmzYe/iaCuLjUZSqETqZsvt3/4iXXbQvlX2+GuCQUfm4EcvTPIdymF/d/x0GnJpD+KtBOR2IqMm9T0nLxg==" saltValue="SSTmqcKBWq4u86TvvAFosg==" spinCount="100000" sheet="1" autoFilter="0"/>
  <autoFilter ref="A21:Q92" xr:uid="{00000000-0009-0000-0000-000007000000}"/>
  <mergeCells count="22">
    <mergeCell ref="F107:O107"/>
    <mergeCell ref="F106:O106"/>
    <mergeCell ref="F112:O112"/>
    <mergeCell ref="F108:O108"/>
    <mergeCell ref="F109:O109"/>
    <mergeCell ref="F110:O110"/>
    <mergeCell ref="F111:O111"/>
    <mergeCell ref="E18:G18"/>
    <mergeCell ref="L18:O18"/>
    <mergeCell ref="I20:K20"/>
    <mergeCell ref="I97:K97"/>
    <mergeCell ref="E105:O105"/>
    <mergeCell ref="E92:G92"/>
    <mergeCell ref="L92:M92"/>
    <mergeCell ref="L84:Q84"/>
    <mergeCell ref="L85:Q85"/>
    <mergeCell ref="L86:Q86"/>
    <mergeCell ref="L87:Q87"/>
    <mergeCell ref="L88:Q88"/>
    <mergeCell ref="L89:Q89"/>
    <mergeCell ref="L90:Q90"/>
    <mergeCell ref="L91:Q91"/>
  </mergeCells>
  <conditionalFormatting sqref="I23:K92">
    <cfRule type="cellIs" dxfId="23" priority="1" stopIfTrue="1" operator="equal">
      <formula>0</formula>
    </cfRule>
  </conditionalFormatting>
  <conditionalFormatting sqref="O7:O16 I100:K100">
    <cfRule type="cellIs" dxfId="22" priority="4" stopIfTrue="1" operator="equal">
      <formula>0</formula>
    </cfRule>
  </conditionalFormatting>
  <hyperlinks>
    <hyperlink ref="E18:G18" location="Angebotsübersicht!A1" display="Zur Angebotsübersicht" xr:uid="{00000000-0004-0000-0700-000000000000}"/>
    <hyperlink ref="L18:O18" location="Leistungswerte!A1" display="Zu den Leistungswerten" xr:uid="{00000000-0004-0000-0700-000001000000}"/>
  </hyperlinks>
  <printOptions horizontalCentered="1"/>
  <pageMargins left="0.55118110236220474" right="0.35433070866141736" top="0.31496062992125984" bottom="0.51181102362204722" header="0.19685039370078741" footer="0.31496062992125984"/>
  <pageSetup paperSize="9" scale="67" fitToHeight="0" orientation="landscape" r:id="rId1"/>
  <headerFooter alignWithMargins="0">
    <oddFooter>&amp;L&amp;8Ausschreibung Unterhaltsreinigung
&amp;A&amp;R&amp;8© Lean Consulting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59999389629810485"/>
    <pageSetUpPr fitToPage="1"/>
  </sheetPr>
  <dimension ref="A1:R112"/>
  <sheetViews>
    <sheetView zoomScale="90" zoomScaleNormal="90" workbookViewId="0"/>
  </sheetViews>
  <sheetFormatPr baseColWidth="10" defaultColWidth="11.42578125" defaultRowHeight="12.75" x14ac:dyDescent="0.2"/>
  <cols>
    <col min="1" max="1" width="5.140625" style="1" customWidth="1"/>
    <col min="2" max="2" width="6.5703125" style="1" customWidth="1"/>
    <col min="3" max="3" width="10.85546875" style="1" customWidth="1"/>
    <col min="4" max="4" width="7.140625" style="1" customWidth="1"/>
    <col min="5" max="5" width="38.7109375" style="1" customWidth="1"/>
    <col min="6" max="6" width="17.42578125" style="1" customWidth="1"/>
    <col min="7" max="7" width="16.5703125" style="27" bestFit="1" customWidth="1"/>
    <col min="8" max="8" width="7.140625" style="28" customWidth="1"/>
    <col min="9" max="11" width="6.85546875" style="29" customWidth="1"/>
    <col min="12" max="12" width="17.140625" style="27" customWidth="1"/>
    <col min="13" max="13" width="12.85546875" style="30" customWidth="1"/>
    <col min="14" max="14" width="11.42578125" style="1"/>
    <col min="15" max="15" width="18.5703125" style="31" customWidth="1"/>
    <col min="16" max="16" width="11.42578125" style="32"/>
    <col min="17" max="17" width="14.28515625" style="32" customWidth="1"/>
    <col min="18" max="18" width="15.42578125" style="1" customWidth="1"/>
    <col min="19" max="16384" width="11.42578125" style="1"/>
  </cols>
  <sheetData>
    <row r="1" spans="5:17" ht="13.5" thickBot="1" x14ac:dyDescent="0.25"/>
    <row r="2" spans="5:17" s="39" customFormat="1" ht="25.5" customHeight="1" thickBot="1" x14ac:dyDescent="0.25">
      <c r="E2" s="33"/>
      <c r="F2" s="34"/>
      <c r="G2" s="35" t="str">
        <f>IF(Bieter&lt;&gt;"",Bieter,"Bietername fehlt !")</f>
        <v>Bietername fehlt !</v>
      </c>
      <c r="H2" s="164"/>
      <c r="I2" s="36"/>
      <c r="J2" s="36"/>
      <c r="K2" s="36"/>
      <c r="L2" s="33"/>
      <c r="M2" s="34"/>
      <c r="N2" s="37"/>
      <c r="O2" s="35" t="s">
        <v>254</v>
      </c>
      <c r="P2" s="152">
        <v>6</v>
      </c>
      <c r="Q2" s="38"/>
    </row>
    <row r="3" spans="5:17" ht="13.5" thickBot="1" x14ac:dyDescent="0.25"/>
    <row r="4" spans="5:17" s="42" customFormat="1" ht="25.5" customHeight="1" thickBot="1" x14ac:dyDescent="0.25">
      <c r="E4" s="116" t="s">
        <v>55</v>
      </c>
      <c r="F4" s="118"/>
      <c r="G4" s="119"/>
      <c r="H4" s="41"/>
      <c r="K4" s="43"/>
      <c r="L4" s="117" t="s">
        <v>56</v>
      </c>
      <c r="M4" s="138"/>
      <c r="N4" s="138"/>
      <c r="O4" s="139"/>
      <c r="P4" s="44"/>
      <c r="Q4" s="44"/>
    </row>
    <row r="5" spans="5:17" s="42" customFormat="1" ht="18.75" customHeight="1" x14ac:dyDescent="0.2">
      <c r="E5" s="120" t="s">
        <v>45</v>
      </c>
      <c r="F5" s="121"/>
      <c r="G5" s="122">
        <f>RT_Schule</f>
        <v>194</v>
      </c>
      <c r="H5" s="41"/>
      <c r="I5" s="45"/>
      <c r="L5" s="120" t="s">
        <v>60</v>
      </c>
      <c r="M5" s="121"/>
      <c r="N5" s="140"/>
      <c r="O5" s="141" t="s">
        <v>69</v>
      </c>
      <c r="P5" s="44"/>
      <c r="Q5" s="44"/>
    </row>
    <row r="6" spans="5:17" s="42" customFormat="1" ht="18.75" customHeight="1" x14ac:dyDescent="0.2">
      <c r="E6" s="120" t="s">
        <v>46</v>
      </c>
      <c r="F6" s="121"/>
      <c r="G6" s="122">
        <v>5</v>
      </c>
      <c r="H6" s="41"/>
      <c r="I6" s="45"/>
      <c r="L6" s="120"/>
      <c r="M6" s="121"/>
      <c r="N6" s="140"/>
      <c r="O6" s="142"/>
      <c r="P6" s="44"/>
      <c r="Q6" s="44"/>
    </row>
    <row r="7" spans="5:17" s="42" customFormat="1" ht="18.75" customHeight="1" x14ac:dyDescent="0.2">
      <c r="E7" s="120" t="s">
        <v>44</v>
      </c>
      <c r="F7" s="121"/>
      <c r="G7" s="123">
        <f>SUM($G$23:$G$93)</f>
        <v>2278.92</v>
      </c>
      <c r="H7" s="41"/>
      <c r="I7" s="45"/>
      <c r="J7" s="45"/>
      <c r="L7" s="120" t="s">
        <v>44</v>
      </c>
      <c r="M7" s="121"/>
      <c r="N7" s="121"/>
      <c r="O7" s="143">
        <f>IF($O$5="JA",$G$102,0)</f>
        <v>2278.92</v>
      </c>
      <c r="P7" s="44"/>
      <c r="Q7" s="44"/>
    </row>
    <row r="8" spans="5:17" s="42" customFormat="1" ht="18.75" customHeight="1" x14ac:dyDescent="0.2">
      <c r="E8" s="120" t="s">
        <v>48</v>
      </c>
      <c r="F8" s="121"/>
      <c r="G8" s="123">
        <f>SUM($L$23:$L$93)</f>
        <v>380913.83400000003</v>
      </c>
      <c r="H8" s="41"/>
      <c r="I8" s="45"/>
      <c r="J8" s="45"/>
      <c r="L8" s="120" t="s">
        <v>48</v>
      </c>
      <c r="M8" s="121"/>
      <c r="N8" s="121"/>
      <c r="O8" s="143">
        <f>IF($O$5="JA",$L$102,0)</f>
        <v>2278.92</v>
      </c>
      <c r="P8" s="44"/>
      <c r="Q8" s="44"/>
    </row>
    <row r="9" spans="5:17" s="42" customFormat="1" ht="18.75" customHeight="1" x14ac:dyDescent="0.2">
      <c r="E9" s="120" t="s">
        <v>49</v>
      </c>
      <c r="F9" s="121"/>
      <c r="G9" s="124">
        <f>SUM($O$23:$O$93)</f>
        <v>0</v>
      </c>
      <c r="H9" s="41"/>
      <c r="I9" s="45"/>
      <c r="J9" s="45"/>
      <c r="L9" s="120" t="s">
        <v>49</v>
      </c>
      <c r="M9" s="121"/>
      <c r="N9" s="121"/>
      <c r="O9" s="124">
        <f>IF($O$5="JA",$O$102,0)</f>
        <v>0</v>
      </c>
      <c r="P9" s="44"/>
      <c r="Q9" s="44"/>
    </row>
    <row r="10" spans="5:17" s="42" customFormat="1" ht="18.75" customHeight="1" x14ac:dyDescent="0.2">
      <c r="E10" s="120" t="s">
        <v>51</v>
      </c>
      <c r="F10" s="121"/>
      <c r="G10" s="124">
        <f>G9/G5</f>
        <v>0</v>
      </c>
      <c r="H10" s="41"/>
      <c r="I10" s="45"/>
      <c r="J10" s="45"/>
      <c r="L10" s="120"/>
      <c r="M10" s="121"/>
      <c r="N10" s="121"/>
      <c r="O10" s="144"/>
      <c r="P10" s="44"/>
      <c r="Q10" s="44"/>
    </row>
    <row r="11" spans="5:17" s="42" customFormat="1" ht="18.75" customHeight="1" x14ac:dyDescent="0.2">
      <c r="E11" s="120" t="s">
        <v>50</v>
      </c>
      <c r="F11" s="121"/>
      <c r="G11" s="125">
        <f>IF(G9&gt;0,G8/G9,0)</f>
        <v>0</v>
      </c>
      <c r="H11" s="41"/>
      <c r="I11" s="45"/>
      <c r="J11" s="45"/>
      <c r="L11" s="120" t="s">
        <v>50</v>
      </c>
      <c r="M11" s="121"/>
      <c r="N11" s="121"/>
      <c r="O11" s="125" t="e">
        <f>IF($O$5="JA",$O$8/$O$9,0)</f>
        <v>#DIV/0!</v>
      </c>
      <c r="P11" s="44"/>
      <c r="Q11" s="44"/>
    </row>
    <row r="12" spans="5:17" s="42" customFormat="1" ht="18.75" customHeight="1" thickBot="1" x14ac:dyDescent="0.25">
      <c r="E12" s="126" t="s">
        <v>57</v>
      </c>
      <c r="F12" s="127"/>
      <c r="G12" s="128">
        <f>IF(G9&gt;0,G14/G9,0)</f>
        <v>0</v>
      </c>
      <c r="H12" s="41"/>
      <c r="I12" s="45"/>
      <c r="J12" s="45"/>
      <c r="L12" s="126" t="s">
        <v>57</v>
      </c>
      <c r="M12" s="127"/>
      <c r="N12" s="127"/>
      <c r="O12" s="145" t="e">
        <f ca="1">IF($O$5="JA",$O$14/$O$9,0)</f>
        <v>#DIV/0!</v>
      </c>
      <c r="P12" s="44"/>
      <c r="Q12" s="44"/>
    </row>
    <row r="13" spans="5:17" s="42" customFormat="1" ht="6.75" customHeight="1" thickBot="1" x14ac:dyDescent="0.25">
      <c r="E13" s="121"/>
      <c r="F13" s="121"/>
      <c r="G13" s="129"/>
      <c r="H13" s="41"/>
      <c r="I13" s="45"/>
      <c r="J13" s="45"/>
      <c r="L13" s="121"/>
      <c r="M13" s="121"/>
      <c r="N13" s="121"/>
      <c r="O13" s="146"/>
      <c r="P13" s="44"/>
      <c r="Q13" s="44"/>
    </row>
    <row r="14" spans="5:17" s="42" customFormat="1" ht="18.75" customHeight="1" x14ac:dyDescent="0.2">
      <c r="E14" s="130" t="s">
        <v>65</v>
      </c>
      <c r="F14" s="131">
        <f ca="1">G14/G5</f>
        <v>0</v>
      </c>
      <c r="G14" s="132">
        <f ca="1">SUM(Q23:Q93)</f>
        <v>0</v>
      </c>
      <c r="H14" s="41"/>
      <c r="I14" s="45"/>
      <c r="J14" s="45"/>
      <c r="K14" s="46"/>
      <c r="L14" s="130" t="s">
        <v>52</v>
      </c>
      <c r="M14" s="147"/>
      <c r="N14" s="147"/>
      <c r="O14" s="148">
        <f ca="1">IF($O$5="JA",$Q$102,0)</f>
        <v>0</v>
      </c>
      <c r="P14" s="44"/>
      <c r="Q14" s="44"/>
    </row>
    <row r="15" spans="5:17" s="42" customFormat="1" ht="18.75" customHeight="1" x14ac:dyDescent="0.2">
      <c r="E15" s="133" t="s">
        <v>53</v>
      </c>
      <c r="F15" s="129"/>
      <c r="G15" s="134">
        <f ca="1">G14*0.19</f>
        <v>0</v>
      </c>
      <c r="H15" s="41"/>
      <c r="I15" s="45"/>
      <c r="J15" s="45"/>
      <c r="K15" s="46"/>
      <c r="L15" s="133" t="s">
        <v>53</v>
      </c>
      <c r="M15" s="121"/>
      <c r="N15" s="121"/>
      <c r="O15" s="149">
        <f ca="1">IF($O$5="JA",O14*0.19,0)</f>
        <v>0</v>
      </c>
      <c r="P15" s="44"/>
      <c r="Q15" s="44"/>
    </row>
    <row r="16" spans="5:17" s="42" customFormat="1" ht="18.75" customHeight="1" thickBot="1" x14ac:dyDescent="0.25">
      <c r="E16" s="135" t="s">
        <v>54</v>
      </c>
      <c r="F16" s="136"/>
      <c r="G16" s="137">
        <f ca="1">G14+G15</f>
        <v>0</v>
      </c>
      <c r="H16" s="41"/>
      <c r="I16" s="45"/>
      <c r="J16" s="45"/>
      <c r="K16" s="46"/>
      <c r="L16" s="135" t="s">
        <v>54</v>
      </c>
      <c r="M16" s="127"/>
      <c r="N16" s="127"/>
      <c r="O16" s="150">
        <f ca="1">IF(O14&lt;&gt;0,SUM(O14:O15),0)</f>
        <v>0</v>
      </c>
      <c r="P16" s="44"/>
      <c r="Q16" s="44"/>
    </row>
    <row r="17" spans="1:18" ht="6" customHeight="1" thickBot="1" x14ac:dyDescent="0.25">
      <c r="M17" s="1"/>
    </row>
    <row r="18" spans="1:18" ht="18" customHeight="1" thickBot="1" x14ac:dyDescent="0.25">
      <c r="A18" s="46"/>
      <c r="B18" s="46"/>
      <c r="C18" s="46"/>
      <c r="D18" s="46"/>
      <c r="E18" s="390" t="s">
        <v>63</v>
      </c>
      <c r="F18" s="391"/>
      <c r="G18" s="392"/>
      <c r="H18" s="47"/>
      <c r="I18" s="48"/>
      <c r="J18" s="48"/>
      <c r="K18" s="48"/>
      <c r="L18" s="393" t="s">
        <v>62</v>
      </c>
      <c r="M18" s="394"/>
      <c r="N18" s="394"/>
      <c r="O18" s="395"/>
      <c r="P18" s="49"/>
      <c r="Q18" s="49"/>
    </row>
    <row r="19" spans="1:18" ht="6" customHeight="1" thickBot="1" x14ac:dyDescent="0.25"/>
    <row r="20" spans="1:18" s="58" customFormat="1" x14ac:dyDescent="0.2">
      <c r="A20" s="50" t="s">
        <v>0</v>
      </c>
      <c r="B20" s="51" t="s">
        <v>40</v>
      </c>
      <c r="C20" s="51" t="s">
        <v>61</v>
      </c>
      <c r="D20" s="51" t="s">
        <v>41</v>
      </c>
      <c r="E20" s="52" t="s">
        <v>42</v>
      </c>
      <c r="F20" s="52" t="s">
        <v>24</v>
      </c>
      <c r="G20" s="53" t="s">
        <v>25</v>
      </c>
      <c r="H20" s="52" t="s">
        <v>1</v>
      </c>
      <c r="I20" s="396" t="s">
        <v>26</v>
      </c>
      <c r="J20" s="396"/>
      <c r="K20" s="396"/>
      <c r="L20" s="53" t="s">
        <v>33</v>
      </c>
      <c r="M20" s="54" t="s">
        <v>2</v>
      </c>
      <c r="N20" s="52" t="s">
        <v>15</v>
      </c>
      <c r="O20" s="55" t="s">
        <v>30</v>
      </c>
      <c r="P20" s="56" t="s">
        <v>13</v>
      </c>
      <c r="Q20" s="57" t="s">
        <v>31</v>
      </c>
      <c r="R20" s="299" t="s">
        <v>275</v>
      </c>
    </row>
    <row r="21" spans="1:18" s="58" customFormat="1" ht="25.5" customHeight="1" thickBot="1" x14ac:dyDescent="0.25">
      <c r="A21" s="18"/>
      <c r="B21" s="19"/>
      <c r="C21" s="19"/>
      <c r="D21" s="19"/>
      <c r="E21" s="20" t="s">
        <v>43</v>
      </c>
      <c r="F21" s="20"/>
      <c r="G21" s="21" t="s">
        <v>32</v>
      </c>
      <c r="H21" s="20"/>
      <c r="I21" s="22" t="s">
        <v>27</v>
      </c>
      <c r="J21" s="22" t="s">
        <v>28</v>
      </c>
      <c r="K21" s="22" t="s">
        <v>29</v>
      </c>
      <c r="L21" s="21" t="s">
        <v>34</v>
      </c>
      <c r="M21" s="23" t="s">
        <v>35</v>
      </c>
      <c r="N21" s="20" t="s">
        <v>36</v>
      </c>
      <c r="O21" s="24" t="s">
        <v>37</v>
      </c>
      <c r="P21" s="25" t="s">
        <v>38</v>
      </c>
      <c r="Q21" s="26" t="s">
        <v>39</v>
      </c>
      <c r="R21" s="300" t="s">
        <v>274</v>
      </c>
    </row>
    <row r="22" spans="1:18" ht="3.75" customHeight="1" x14ac:dyDescent="0.2">
      <c r="A22" s="68" t="s">
        <v>21</v>
      </c>
      <c r="B22" s="69" t="s">
        <v>21</v>
      </c>
      <c r="C22" s="69"/>
      <c r="D22" s="69" t="s">
        <v>21</v>
      </c>
      <c r="E22" s="69" t="s">
        <v>21</v>
      </c>
      <c r="F22" s="69" t="s">
        <v>21</v>
      </c>
      <c r="G22" s="70" t="s">
        <v>21</v>
      </c>
      <c r="H22" s="71" t="s">
        <v>21</v>
      </c>
      <c r="I22" s="72" t="s">
        <v>21</v>
      </c>
      <c r="J22" s="72" t="s">
        <v>21</v>
      </c>
      <c r="K22" s="72" t="s">
        <v>21</v>
      </c>
      <c r="L22" s="70" t="s">
        <v>21</v>
      </c>
      <c r="M22" s="73" t="s">
        <v>21</v>
      </c>
      <c r="N22" s="74" t="s">
        <v>21</v>
      </c>
      <c r="O22" s="75" t="s">
        <v>21</v>
      </c>
      <c r="P22" s="76" t="s">
        <v>21</v>
      </c>
      <c r="Q22" s="77" t="s">
        <v>21</v>
      </c>
      <c r="R22" s="301" t="s">
        <v>21</v>
      </c>
    </row>
    <row r="23" spans="1:18" ht="24" customHeight="1" x14ac:dyDescent="0.2">
      <c r="A23" s="81"/>
      <c r="B23" s="82"/>
      <c r="C23" s="296" t="s">
        <v>337</v>
      </c>
      <c r="D23" s="82"/>
      <c r="E23" s="82"/>
      <c r="F23" s="82"/>
      <c r="G23" s="83"/>
      <c r="H23" s="245"/>
      <c r="I23" s="246"/>
      <c r="J23" s="246"/>
      <c r="K23" s="246"/>
      <c r="L23" s="83"/>
      <c r="M23" s="297"/>
      <c r="N23" s="84"/>
      <c r="O23" s="80"/>
      <c r="P23" s="298"/>
      <c r="Q23" s="85"/>
      <c r="R23" s="305"/>
    </row>
    <row r="24" spans="1:18" ht="24" customHeight="1" x14ac:dyDescent="0.2">
      <c r="A24" s="81">
        <f t="shared" ref="A24:A87" si="0">A23+1</f>
        <v>1</v>
      </c>
      <c r="B24" s="82" t="s">
        <v>289</v>
      </c>
      <c r="C24" s="82"/>
      <c r="D24" s="151">
        <v>1</v>
      </c>
      <c r="E24" s="82" t="s">
        <v>272</v>
      </c>
      <c r="F24" s="82" t="s">
        <v>441</v>
      </c>
      <c r="G24" s="83">
        <v>9.08</v>
      </c>
      <c r="H24" s="245" t="s">
        <v>76</v>
      </c>
      <c r="I24" s="246">
        <f>VLOOKUP($H24,Leistungswerte!$A$8:$E$54,3,FALSE)</f>
        <v>5</v>
      </c>
      <c r="J24" s="246">
        <f>VLOOKUP($H24,Leistungswerte!$A$8:$E$54,4,FALSE)</f>
        <v>0</v>
      </c>
      <c r="K24" s="246">
        <f>VLOOKUP($H24,Leistungswerte!$A$8:$E$54,5,FALSE)</f>
        <v>0</v>
      </c>
      <c r="L24" s="83">
        <f t="shared" ref="L24:L86" si="1">($G$5/$G$6*I24+J24*12+K24)*G24</f>
        <v>1761.52</v>
      </c>
      <c r="M24" s="247">
        <f>VLOOKUP($H24,Leistungswerte!$A$8:$F$54,$P$2,FALSE)</f>
        <v>0</v>
      </c>
      <c r="N24" s="84">
        <f t="shared" ref="N24:N86" si="2">IF(M24&lt;&gt;0,G24/M24/24,0)</f>
        <v>0</v>
      </c>
      <c r="O24" s="80">
        <f t="shared" ref="O24:O86" si="3">IF(M24&lt;&gt;0,L24/M24,0)</f>
        <v>0</v>
      </c>
      <c r="P24" s="248">
        <f t="shared" ref="P24:P86" ca="1" si="4">SVS_UR</f>
        <v>0</v>
      </c>
      <c r="Q24" s="85">
        <f t="shared" ref="Q24:Q86" ca="1" si="5">O24*P24</f>
        <v>0</v>
      </c>
      <c r="R24" s="305"/>
    </row>
    <row r="25" spans="1:18" ht="24" customHeight="1" x14ac:dyDescent="0.2">
      <c r="A25" s="81">
        <f t="shared" si="0"/>
        <v>2</v>
      </c>
      <c r="B25" s="82" t="s">
        <v>289</v>
      </c>
      <c r="C25" s="82"/>
      <c r="D25" s="151" t="s">
        <v>165</v>
      </c>
      <c r="E25" s="82" t="s">
        <v>295</v>
      </c>
      <c r="F25" s="82" t="s">
        <v>441</v>
      </c>
      <c r="G25" s="83">
        <v>3.28</v>
      </c>
      <c r="H25" s="245" t="s">
        <v>76</v>
      </c>
      <c r="I25" s="246">
        <f>VLOOKUP($H25,Leistungswerte!$A$8:$E$54,3,FALSE)</f>
        <v>5</v>
      </c>
      <c r="J25" s="246">
        <f>VLOOKUP($H25,Leistungswerte!$A$8:$E$54,4,FALSE)</f>
        <v>0</v>
      </c>
      <c r="K25" s="246">
        <f>VLOOKUP($H25,Leistungswerte!$A$8:$E$54,5,FALSE)</f>
        <v>0</v>
      </c>
      <c r="L25" s="83">
        <f t="shared" si="1"/>
        <v>636.31999999999994</v>
      </c>
      <c r="M25" s="247">
        <f>VLOOKUP($H25,Leistungswerte!$A$8:$F$54,$P$2,FALSE)</f>
        <v>0</v>
      </c>
      <c r="N25" s="84">
        <f t="shared" si="2"/>
        <v>0</v>
      </c>
      <c r="O25" s="80">
        <f t="shared" si="3"/>
        <v>0</v>
      </c>
      <c r="P25" s="248">
        <f t="shared" ca="1" si="4"/>
        <v>0</v>
      </c>
      <c r="Q25" s="85">
        <f t="shared" ca="1" si="5"/>
        <v>0</v>
      </c>
      <c r="R25" s="305"/>
    </row>
    <row r="26" spans="1:18" ht="24" customHeight="1" x14ac:dyDescent="0.2">
      <c r="A26" s="81">
        <f t="shared" si="0"/>
        <v>3</v>
      </c>
      <c r="B26" s="82" t="s">
        <v>289</v>
      </c>
      <c r="C26" s="82"/>
      <c r="D26" s="151">
        <v>3</v>
      </c>
      <c r="E26" s="82" t="s">
        <v>358</v>
      </c>
      <c r="F26" s="82" t="s">
        <v>441</v>
      </c>
      <c r="G26" s="83">
        <v>16.34</v>
      </c>
      <c r="H26" s="245" t="s">
        <v>76</v>
      </c>
      <c r="I26" s="246">
        <f>VLOOKUP($H26,Leistungswerte!$A$8:$E$54,3,FALSE)</f>
        <v>5</v>
      </c>
      <c r="J26" s="246">
        <f>VLOOKUP($H26,Leistungswerte!$A$8:$E$54,4,FALSE)</f>
        <v>0</v>
      </c>
      <c r="K26" s="246">
        <f>VLOOKUP($H26,Leistungswerte!$A$8:$E$54,5,FALSE)</f>
        <v>0</v>
      </c>
      <c r="L26" s="83">
        <f t="shared" si="1"/>
        <v>3169.96</v>
      </c>
      <c r="M26" s="247">
        <f>VLOOKUP($H26,Leistungswerte!$A$8:$F$54,$P$2,FALSE)</f>
        <v>0</v>
      </c>
      <c r="N26" s="84">
        <f t="shared" si="2"/>
        <v>0</v>
      </c>
      <c r="O26" s="80">
        <f t="shared" si="3"/>
        <v>0</v>
      </c>
      <c r="P26" s="248">
        <f t="shared" ca="1" si="4"/>
        <v>0</v>
      </c>
      <c r="Q26" s="85">
        <f t="shared" ca="1" si="5"/>
        <v>0</v>
      </c>
      <c r="R26" s="305"/>
    </row>
    <row r="27" spans="1:18" ht="24" customHeight="1" x14ac:dyDescent="0.2">
      <c r="A27" s="81">
        <f t="shared" si="0"/>
        <v>4</v>
      </c>
      <c r="B27" s="82" t="s">
        <v>289</v>
      </c>
      <c r="C27" s="82"/>
      <c r="D27" s="151">
        <v>2</v>
      </c>
      <c r="E27" s="82" t="s">
        <v>269</v>
      </c>
      <c r="F27" s="82" t="s">
        <v>434</v>
      </c>
      <c r="G27" s="83">
        <v>22.63</v>
      </c>
      <c r="H27" s="245" t="s">
        <v>91</v>
      </c>
      <c r="I27" s="246">
        <f>VLOOKUP($H27,Leistungswerte!$A$8:$E$54,3,FALSE)</f>
        <v>5</v>
      </c>
      <c r="J27" s="246">
        <f>VLOOKUP($H27,Leistungswerte!$A$8:$E$54,4,FALSE)</f>
        <v>0</v>
      </c>
      <c r="K27" s="246">
        <f>VLOOKUP($H27,Leistungswerte!$A$8:$E$54,5,FALSE)</f>
        <v>0</v>
      </c>
      <c r="L27" s="83">
        <f t="shared" si="1"/>
        <v>4390.22</v>
      </c>
      <c r="M27" s="247">
        <f>VLOOKUP($H27,Leistungswerte!$A$8:$F$54,$P$2,FALSE)</f>
        <v>0</v>
      </c>
      <c r="N27" s="84">
        <f t="shared" si="2"/>
        <v>0</v>
      </c>
      <c r="O27" s="80">
        <f t="shared" si="3"/>
        <v>0</v>
      </c>
      <c r="P27" s="248">
        <f t="shared" ca="1" si="4"/>
        <v>0</v>
      </c>
      <c r="Q27" s="85">
        <f t="shared" ca="1" si="5"/>
        <v>0</v>
      </c>
      <c r="R27" s="305"/>
    </row>
    <row r="28" spans="1:18" ht="24" customHeight="1" x14ac:dyDescent="0.2">
      <c r="A28" s="81">
        <f t="shared" si="0"/>
        <v>5</v>
      </c>
      <c r="B28" s="82" t="s">
        <v>289</v>
      </c>
      <c r="C28" s="82"/>
      <c r="D28" s="151" t="s">
        <v>166</v>
      </c>
      <c r="E28" s="82" t="s">
        <v>299</v>
      </c>
      <c r="F28" s="82" t="s">
        <v>434</v>
      </c>
      <c r="G28" s="83">
        <v>63.12</v>
      </c>
      <c r="H28" s="245" t="s">
        <v>91</v>
      </c>
      <c r="I28" s="246">
        <f>VLOOKUP($H28,Leistungswerte!$A$8:$E$54,3,FALSE)</f>
        <v>5</v>
      </c>
      <c r="J28" s="246">
        <f>VLOOKUP($H28,Leistungswerte!$A$8:$E$54,4,FALSE)</f>
        <v>0</v>
      </c>
      <c r="K28" s="246">
        <f>VLOOKUP($H28,Leistungswerte!$A$8:$E$54,5,FALSE)</f>
        <v>0</v>
      </c>
      <c r="L28" s="83">
        <f t="shared" si="1"/>
        <v>12245.279999999999</v>
      </c>
      <c r="M28" s="247">
        <f>VLOOKUP($H28,Leistungswerte!$A$8:$F$54,$P$2,FALSE)</f>
        <v>0</v>
      </c>
      <c r="N28" s="84">
        <f t="shared" si="2"/>
        <v>0</v>
      </c>
      <c r="O28" s="80">
        <f t="shared" si="3"/>
        <v>0</v>
      </c>
      <c r="P28" s="248">
        <f t="shared" ca="1" si="4"/>
        <v>0</v>
      </c>
      <c r="Q28" s="85">
        <f t="shared" ca="1" si="5"/>
        <v>0</v>
      </c>
      <c r="R28" s="305"/>
    </row>
    <row r="29" spans="1:18" ht="24" customHeight="1" x14ac:dyDescent="0.2">
      <c r="A29" s="81">
        <f t="shared" si="0"/>
        <v>6</v>
      </c>
      <c r="B29" s="82" t="s">
        <v>289</v>
      </c>
      <c r="C29" s="82"/>
      <c r="D29" s="151">
        <v>4</v>
      </c>
      <c r="E29" s="82" t="s">
        <v>299</v>
      </c>
      <c r="F29" s="82" t="s">
        <v>434</v>
      </c>
      <c r="G29" s="83">
        <v>62.4</v>
      </c>
      <c r="H29" s="245" t="s">
        <v>91</v>
      </c>
      <c r="I29" s="246">
        <f>VLOOKUP($H29,Leistungswerte!$A$8:$E$54,3,FALSE)</f>
        <v>5</v>
      </c>
      <c r="J29" s="246">
        <f>VLOOKUP($H29,Leistungswerte!$A$8:$E$54,4,FALSE)</f>
        <v>0</v>
      </c>
      <c r="K29" s="246">
        <f>VLOOKUP($H29,Leistungswerte!$A$8:$E$54,5,FALSE)</f>
        <v>0</v>
      </c>
      <c r="L29" s="83">
        <f t="shared" si="1"/>
        <v>12105.6</v>
      </c>
      <c r="M29" s="247">
        <f>VLOOKUP($H29,Leistungswerte!$A$8:$F$54,$P$2,FALSE)</f>
        <v>0</v>
      </c>
      <c r="N29" s="84">
        <f t="shared" si="2"/>
        <v>0</v>
      </c>
      <c r="O29" s="80">
        <f t="shared" si="3"/>
        <v>0</v>
      </c>
      <c r="P29" s="248">
        <f t="shared" ca="1" si="4"/>
        <v>0</v>
      </c>
      <c r="Q29" s="85">
        <f t="shared" ca="1" si="5"/>
        <v>0</v>
      </c>
      <c r="R29" s="305"/>
    </row>
    <row r="30" spans="1:18" ht="24" customHeight="1" x14ac:dyDescent="0.2">
      <c r="A30" s="81">
        <f t="shared" si="0"/>
        <v>7</v>
      </c>
      <c r="B30" s="82" t="s">
        <v>289</v>
      </c>
      <c r="C30" s="82"/>
      <c r="D30" s="151">
        <v>3</v>
      </c>
      <c r="E30" s="82" t="s">
        <v>299</v>
      </c>
      <c r="F30" s="82" t="s">
        <v>434</v>
      </c>
      <c r="G30" s="83">
        <v>63.91</v>
      </c>
      <c r="H30" s="245" t="s">
        <v>91</v>
      </c>
      <c r="I30" s="246">
        <f>VLOOKUP($H30,Leistungswerte!$A$8:$E$54,3,FALSE)</f>
        <v>5</v>
      </c>
      <c r="J30" s="246">
        <f>VLOOKUP($H30,Leistungswerte!$A$8:$E$54,4,FALSE)</f>
        <v>0</v>
      </c>
      <c r="K30" s="246">
        <f>VLOOKUP($H30,Leistungswerte!$A$8:$E$54,5,FALSE)</f>
        <v>0</v>
      </c>
      <c r="L30" s="83">
        <f t="shared" si="1"/>
        <v>12398.539999999999</v>
      </c>
      <c r="M30" s="247">
        <f>VLOOKUP($H30,Leistungswerte!$A$8:$F$54,$P$2,FALSE)</f>
        <v>0</v>
      </c>
      <c r="N30" s="84">
        <f t="shared" si="2"/>
        <v>0</v>
      </c>
      <c r="O30" s="80">
        <f t="shared" si="3"/>
        <v>0</v>
      </c>
      <c r="P30" s="248">
        <f t="shared" ca="1" si="4"/>
        <v>0</v>
      </c>
      <c r="Q30" s="85">
        <f t="shared" ca="1" si="5"/>
        <v>0</v>
      </c>
      <c r="R30" s="305"/>
    </row>
    <row r="31" spans="1:18" ht="24" customHeight="1" x14ac:dyDescent="0.2">
      <c r="A31" s="81">
        <f t="shared" si="0"/>
        <v>8</v>
      </c>
      <c r="B31" s="82" t="s">
        <v>289</v>
      </c>
      <c r="C31" s="82"/>
      <c r="D31" s="151" t="s">
        <v>167</v>
      </c>
      <c r="E31" s="82" t="s">
        <v>269</v>
      </c>
      <c r="F31" s="82" t="s">
        <v>434</v>
      </c>
      <c r="G31" s="83">
        <v>22.56</v>
      </c>
      <c r="H31" s="245" t="s">
        <v>91</v>
      </c>
      <c r="I31" s="246">
        <f>VLOOKUP($H31,Leistungswerte!$A$8:$E$54,3,FALSE)</f>
        <v>5</v>
      </c>
      <c r="J31" s="246">
        <f>VLOOKUP($H31,Leistungswerte!$A$8:$E$54,4,FALSE)</f>
        <v>0</v>
      </c>
      <c r="K31" s="246">
        <f>VLOOKUP($H31,Leistungswerte!$A$8:$E$54,5,FALSE)</f>
        <v>0</v>
      </c>
      <c r="L31" s="83">
        <f t="shared" si="1"/>
        <v>4376.6399999999994</v>
      </c>
      <c r="M31" s="247">
        <f>VLOOKUP($H31,Leistungswerte!$A$8:$F$54,$P$2,FALSE)</f>
        <v>0</v>
      </c>
      <c r="N31" s="84">
        <f t="shared" si="2"/>
        <v>0</v>
      </c>
      <c r="O31" s="80">
        <f t="shared" si="3"/>
        <v>0</v>
      </c>
      <c r="P31" s="248">
        <f t="shared" ca="1" si="4"/>
        <v>0</v>
      </c>
      <c r="Q31" s="85">
        <f t="shared" ca="1" si="5"/>
        <v>0</v>
      </c>
      <c r="R31" s="305"/>
    </row>
    <row r="32" spans="1:18" ht="24" customHeight="1" x14ac:dyDescent="0.2">
      <c r="A32" s="81">
        <f t="shared" si="0"/>
        <v>9</v>
      </c>
      <c r="B32" s="82" t="s">
        <v>289</v>
      </c>
      <c r="C32" s="82"/>
      <c r="D32" s="151">
        <v>5</v>
      </c>
      <c r="E32" s="82" t="s">
        <v>299</v>
      </c>
      <c r="F32" s="82" t="s">
        <v>434</v>
      </c>
      <c r="G32" s="83">
        <v>64.150000000000006</v>
      </c>
      <c r="H32" s="245" t="s">
        <v>91</v>
      </c>
      <c r="I32" s="246">
        <f>VLOOKUP($H32,Leistungswerte!$A$8:$E$54,3,FALSE)</f>
        <v>5</v>
      </c>
      <c r="J32" s="246">
        <f>VLOOKUP($H32,Leistungswerte!$A$8:$E$54,4,FALSE)</f>
        <v>0</v>
      </c>
      <c r="K32" s="246">
        <f>VLOOKUP($H32,Leistungswerte!$A$8:$E$54,5,FALSE)</f>
        <v>0</v>
      </c>
      <c r="L32" s="83">
        <f t="shared" si="1"/>
        <v>12445.1</v>
      </c>
      <c r="M32" s="247">
        <f>VLOOKUP($H32,Leistungswerte!$A$8:$F$54,$P$2,FALSE)</f>
        <v>0</v>
      </c>
      <c r="N32" s="84">
        <f t="shared" si="2"/>
        <v>0</v>
      </c>
      <c r="O32" s="80">
        <f t="shared" si="3"/>
        <v>0</v>
      </c>
      <c r="P32" s="248">
        <f t="shared" ca="1" si="4"/>
        <v>0</v>
      </c>
      <c r="Q32" s="85">
        <f t="shared" ca="1" si="5"/>
        <v>0</v>
      </c>
      <c r="R32" s="305"/>
    </row>
    <row r="33" spans="1:18" ht="24" customHeight="1" x14ac:dyDescent="0.2">
      <c r="A33" s="81">
        <f t="shared" si="0"/>
        <v>10</v>
      </c>
      <c r="B33" s="82" t="s">
        <v>289</v>
      </c>
      <c r="C33" s="82"/>
      <c r="D33" s="151">
        <v>4</v>
      </c>
      <c r="E33" s="82" t="s">
        <v>358</v>
      </c>
      <c r="F33" s="82" t="s">
        <v>441</v>
      </c>
      <c r="G33" s="83">
        <v>16.34</v>
      </c>
      <c r="H33" s="245" t="s">
        <v>76</v>
      </c>
      <c r="I33" s="246">
        <f>VLOOKUP($H33,Leistungswerte!$A$8:$E$54,3,FALSE)</f>
        <v>5</v>
      </c>
      <c r="J33" s="246">
        <f>VLOOKUP($H33,Leistungswerte!$A$8:$E$54,4,FALSE)</f>
        <v>0</v>
      </c>
      <c r="K33" s="246">
        <f>VLOOKUP($H33,Leistungswerte!$A$8:$E$54,5,FALSE)</f>
        <v>0</v>
      </c>
      <c r="L33" s="83">
        <f t="shared" si="1"/>
        <v>3169.96</v>
      </c>
      <c r="M33" s="247">
        <f>VLOOKUP($H33,Leistungswerte!$A$8:$F$54,$P$2,FALSE)</f>
        <v>0</v>
      </c>
      <c r="N33" s="84">
        <f t="shared" si="2"/>
        <v>0</v>
      </c>
      <c r="O33" s="80">
        <f t="shared" si="3"/>
        <v>0</v>
      </c>
      <c r="P33" s="248">
        <f t="shared" ca="1" si="4"/>
        <v>0</v>
      </c>
      <c r="Q33" s="85">
        <f t="shared" ca="1" si="5"/>
        <v>0</v>
      </c>
      <c r="R33" s="305"/>
    </row>
    <row r="34" spans="1:18" ht="24" customHeight="1" x14ac:dyDescent="0.2">
      <c r="A34" s="81">
        <f t="shared" si="0"/>
        <v>11</v>
      </c>
      <c r="B34" s="82" t="s">
        <v>289</v>
      </c>
      <c r="C34" s="82"/>
      <c r="D34" s="151" t="s">
        <v>168</v>
      </c>
      <c r="E34" s="82" t="s">
        <v>272</v>
      </c>
      <c r="F34" s="82" t="s">
        <v>434</v>
      </c>
      <c r="G34" s="83">
        <v>9.1199999999999992</v>
      </c>
      <c r="H34" s="245" t="s">
        <v>76</v>
      </c>
      <c r="I34" s="246">
        <f>VLOOKUP($H34,Leistungswerte!$A$8:$E$54,3,FALSE)</f>
        <v>5</v>
      </c>
      <c r="J34" s="246">
        <f>VLOOKUP($H34,Leistungswerte!$A$8:$E$54,4,FALSE)</f>
        <v>0</v>
      </c>
      <c r="K34" s="246">
        <f>VLOOKUP($H34,Leistungswerte!$A$8:$E$54,5,FALSE)</f>
        <v>0</v>
      </c>
      <c r="L34" s="83">
        <f t="shared" si="1"/>
        <v>1769.2799999999997</v>
      </c>
      <c r="M34" s="247">
        <f>VLOOKUP($H34,Leistungswerte!$A$8:$F$54,$P$2,FALSE)</f>
        <v>0</v>
      </c>
      <c r="N34" s="84">
        <f t="shared" si="2"/>
        <v>0</v>
      </c>
      <c r="O34" s="80">
        <f t="shared" si="3"/>
        <v>0</v>
      </c>
      <c r="P34" s="248">
        <f t="shared" ca="1" si="4"/>
        <v>0</v>
      </c>
      <c r="Q34" s="85">
        <f t="shared" ca="1" si="5"/>
        <v>0</v>
      </c>
      <c r="R34" s="305"/>
    </row>
    <row r="35" spans="1:18" ht="24" customHeight="1" x14ac:dyDescent="0.2">
      <c r="A35" s="81">
        <f t="shared" si="0"/>
        <v>12</v>
      </c>
      <c r="B35" s="82" t="s">
        <v>289</v>
      </c>
      <c r="C35" s="82"/>
      <c r="D35" s="151">
        <v>6</v>
      </c>
      <c r="E35" s="82" t="s">
        <v>295</v>
      </c>
      <c r="F35" s="82" t="s">
        <v>441</v>
      </c>
      <c r="G35" s="83">
        <v>3.32</v>
      </c>
      <c r="H35" s="245" t="s">
        <v>76</v>
      </c>
      <c r="I35" s="246">
        <f>VLOOKUP($H35,Leistungswerte!$A$8:$E$54,3,FALSE)</f>
        <v>5</v>
      </c>
      <c r="J35" s="246">
        <f>VLOOKUP($H35,Leistungswerte!$A$8:$E$54,4,FALSE)</f>
        <v>0</v>
      </c>
      <c r="K35" s="246">
        <f>VLOOKUP($H35,Leistungswerte!$A$8:$E$54,5,FALSE)</f>
        <v>0</v>
      </c>
      <c r="L35" s="83">
        <f t="shared" si="1"/>
        <v>644.07999999999993</v>
      </c>
      <c r="M35" s="247">
        <f>VLOOKUP($H35,Leistungswerte!$A$8:$F$54,$P$2,FALSE)</f>
        <v>0</v>
      </c>
      <c r="N35" s="84">
        <f t="shared" si="2"/>
        <v>0</v>
      </c>
      <c r="O35" s="80">
        <f t="shared" si="3"/>
        <v>0</v>
      </c>
      <c r="P35" s="248">
        <f t="shared" ca="1" si="4"/>
        <v>0</v>
      </c>
      <c r="Q35" s="85">
        <f t="shared" ca="1" si="5"/>
        <v>0</v>
      </c>
      <c r="R35" s="305"/>
    </row>
    <row r="36" spans="1:18" ht="24" customHeight="1" x14ac:dyDescent="0.2">
      <c r="A36" s="81"/>
      <c r="B36" s="82"/>
      <c r="C36" s="296" t="s">
        <v>338</v>
      </c>
      <c r="D36" s="82"/>
      <c r="E36" s="82"/>
      <c r="F36" s="82"/>
      <c r="G36" s="83"/>
      <c r="H36" s="245"/>
      <c r="I36" s="246"/>
      <c r="J36" s="246"/>
      <c r="K36" s="246"/>
      <c r="L36" s="83"/>
      <c r="M36" s="297"/>
      <c r="N36" s="84"/>
      <c r="O36" s="80"/>
      <c r="P36" s="298"/>
      <c r="Q36" s="85"/>
      <c r="R36" s="305"/>
    </row>
    <row r="37" spans="1:18" ht="24" customHeight="1" x14ac:dyDescent="0.2">
      <c r="A37" s="81">
        <f>A35+1</f>
        <v>13</v>
      </c>
      <c r="B37" s="82" t="s">
        <v>276</v>
      </c>
      <c r="C37" s="82"/>
      <c r="D37" s="151">
        <v>7</v>
      </c>
      <c r="E37" s="82" t="s">
        <v>268</v>
      </c>
      <c r="F37" s="82" t="s">
        <v>441</v>
      </c>
      <c r="G37" s="83">
        <v>160.38</v>
      </c>
      <c r="H37" s="245" t="s">
        <v>75</v>
      </c>
      <c r="I37" s="246">
        <f>VLOOKUP($H37,Leistungswerte!$A$8:$E$54,3,FALSE)</f>
        <v>5</v>
      </c>
      <c r="J37" s="246">
        <f>VLOOKUP($H37,Leistungswerte!$A$8:$E$54,4,FALSE)</f>
        <v>0</v>
      </c>
      <c r="K37" s="246">
        <f>VLOOKUP($H37,Leistungswerte!$A$8:$E$54,5,FALSE)</f>
        <v>0</v>
      </c>
      <c r="L37" s="83">
        <f t="shared" si="1"/>
        <v>31113.719999999998</v>
      </c>
      <c r="M37" s="247">
        <f>VLOOKUP($H37,Leistungswerte!$A$8:$F$54,$P$2,FALSE)</f>
        <v>0</v>
      </c>
      <c r="N37" s="84">
        <f t="shared" si="2"/>
        <v>0</v>
      </c>
      <c r="O37" s="80">
        <f t="shared" si="3"/>
        <v>0</v>
      </c>
      <c r="P37" s="248">
        <f t="shared" ca="1" si="4"/>
        <v>0</v>
      </c>
      <c r="Q37" s="85">
        <f t="shared" ca="1" si="5"/>
        <v>0</v>
      </c>
      <c r="R37" s="305"/>
    </row>
    <row r="38" spans="1:18" ht="24" customHeight="1" x14ac:dyDescent="0.2">
      <c r="A38" s="81">
        <f t="shared" si="0"/>
        <v>14</v>
      </c>
      <c r="B38" s="82" t="s">
        <v>276</v>
      </c>
      <c r="C38" s="82"/>
      <c r="D38" s="151">
        <v>8</v>
      </c>
      <c r="E38" s="82" t="s">
        <v>457</v>
      </c>
      <c r="F38" s="82" t="s">
        <v>441</v>
      </c>
      <c r="G38" s="83">
        <v>11.36</v>
      </c>
      <c r="H38" s="245" t="s">
        <v>79</v>
      </c>
      <c r="I38" s="246">
        <f>VLOOKUP($H38,Leistungswerte!$A$8:$E$54,3,FALSE)</f>
        <v>5</v>
      </c>
      <c r="J38" s="246">
        <f>VLOOKUP($H38,Leistungswerte!$A$8:$E$54,4,FALSE)</f>
        <v>0</v>
      </c>
      <c r="K38" s="246">
        <f>VLOOKUP($H38,Leistungswerte!$A$8:$E$54,5,FALSE)</f>
        <v>0</v>
      </c>
      <c r="L38" s="83">
        <f t="shared" si="1"/>
        <v>2203.8399999999997</v>
      </c>
      <c r="M38" s="247">
        <f>VLOOKUP($H38,Leistungswerte!$A$8:$F$54,$P$2,FALSE)</f>
        <v>0</v>
      </c>
      <c r="N38" s="84">
        <f t="shared" si="2"/>
        <v>0</v>
      </c>
      <c r="O38" s="80">
        <f t="shared" si="3"/>
        <v>0</v>
      </c>
      <c r="P38" s="248">
        <f t="shared" ca="1" si="4"/>
        <v>0</v>
      </c>
      <c r="Q38" s="85">
        <f t="shared" ca="1" si="5"/>
        <v>0</v>
      </c>
      <c r="R38" s="305"/>
    </row>
    <row r="39" spans="1:18" ht="24" customHeight="1" x14ac:dyDescent="0.2">
      <c r="A39" s="81">
        <f t="shared" si="0"/>
        <v>15</v>
      </c>
      <c r="B39" s="82" t="s">
        <v>276</v>
      </c>
      <c r="C39" s="82"/>
      <c r="D39" s="151">
        <v>9</v>
      </c>
      <c r="E39" s="82" t="s">
        <v>458</v>
      </c>
      <c r="F39" s="82" t="s">
        <v>436</v>
      </c>
      <c r="G39" s="83">
        <v>5.5</v>
      </c>
      <c r="H39" s="245" t="s">
        <v>79</v>
      </c>
      <c r="I39" s="246">
        <f>VLOOKUP($H39,Leistungswerte!$A$8:$E$54,3,FALSE)</f>
        <v>5</v>
      </c>
      <c r="J39" s="246">
        <f>VLOOKUP($H39,Leistungswerte!$A$8:$E$54,4,FALSE)</f>
        <v>0</v>
      </c>
      <c r="K39" s="246">
        <f>VLOOKUP($H39,Leistungswerte!$A$8:$E$54,5,FALSE)</f>
        <v>0</v>
      </c>
      <c r="L39" s="83">
        <f t="shared" si="1"/>
        <v>1067</v>
      </c>
      <c r="M39" s="247">
        <f>VLOOKUP($H39,Leistungswerte!$A$8:$F$54,$P$2,FALSE)</f>
        <v>0</v>
      </c>
      <c r="N39" s="84">
        <f t="shared" si="2"/>
        <v>0</v>
      </c>
      <c r="O39" s="80">
        <f t="shared" si="3"/>
        <v>0</v>
      </c>
      <c r="P39" s="248">
        <f t="shared" ca="1" si="4"/>
        <v>0</v>
      </c>
      <c r="Q39" s="85">
        <f t="shared" ca="1" si="5"/>
        <v>0</v>
      </c>
      <c r="R39" s="305"/>
    </row>
    <row r="40" spans="1:18" ht="24" customHeight="1" x14ac:dyDescent="0.2">
      <c r="A40" s="81">
        <f t="shared" si="0"/>
        <v>16</v>
      </c>
      <c r="B40" s="82" t="s">
        <v>276</v>
      </c>
      <c r="C40" s="82"/>
      <c r="D40" s="151">
        <v>10</v>
      </c>
      <c r="E40" s="82" t="s">
        <v>447</v>
      </c>
      <c r="F40" s="82" t="s">
        <v>436</v>
      </c>
      <c r="G40" s="83">
        <v>21.07</v>
      </c>
      <c r="H40" s="245" t="s">
        <v>79</v>
      </c>
      <c r="I40" s="246">
        <f>VLOOKUP($H40,Leistungswerte!$A$8:$E$54,3,FALSE)</f>
        <v>5</v>
      </c>
      <c r="J40" s="246">
        <f>VLOOKUP($H40,Leistungswerte!$A$8:$E$54,4,FALSE)</f>
        <v>0</v>
      </c>
      <c r="K40" s="246">
        <f>VLOOKUP($H40,Leistungswerte!$A$8:$E$54,5,FALSE)</f>
        <v>0</v>
      </c>
      <c r="L40" s="83">
        <f t="shared" si="1"/>
        <v>4087.58</v>
      </c>
      <c r="M40" s="247">
        <f>VLOOKUP($H40,Leistungswerte!$A$8:$F$54,$P$2,FALSE)</f>
        <v>0</v>
      </c>
      <c r="N40" s="84">
        <f t="shared" si="2"/>
        <v>0</v>
      </c>
      <c r="O40" s="80">
        <f t="shared" si="3"/>
        <v>0</v>
      </c>
      <c r="P40" s="248">
        <f t="shared" ca="1" si="4"/>
        <v>0</v>
      </c>
      <c r="Q40" s="85">
        <f t="shared" ca="1" si="5"/>
        <v>0</v>
      </c>
      <c r="R40" s="305"/>
    </row>
    <row r="41" spans="1:18" ht="24" customHeight="1" x14ac:dyDescent="0.2">
      <c r="A41" s="81">
        <f t="shared" si="0"/>
        <v>17</v>
      </c>
      <c r="B41" s="82" t="s">
        <v>276</v>
      </c>
      <c r="C41" s="82"/>
      <c r="D41" s="151">
        <v>11</v>
      </c>
      <c r="E41" s="82" t="s">
        <v>459</v>
      </c>
      <c r="F41" s="82" t="s">
        <v>436</v>
      </c>
      <c r="G41" s="83">
        <v>3.49</v>
      </c>
      <c r="H41" s="245" t="s">
        <v>79</v>
      </c>
      <c r="I41" s="246">
        <f>VLOOKUP($H41,Leistungswerte!$A$8:$E$54,3,FALSE)</f>
        <v>5</v>
      </c>
      <c r="J41" s="246">
        <f>VLOOKUP($H41,Leistungswerte!$A$8:$E$54,4,FALSE)</f>
        <v>0</v>
      </c>
      <c r="K41" s="246">
        <f>VLOOKUP($H41,Leistungswerte!$A$8:$E$54,5,FALSE)</f>
        <v>0</v>
      </c>
      <c r="L41" s="83">
        <f t="shared" si="1"/>
        <v>677.06000000000006</v>
      </c>
      <c r="M41" s="247">
        <f>VLOOKUP($H41,Leistungswerte!$A$8:$F$54,$P$2,FALSE)</f>
        <v>0</v>
      </c>
      <c r="N41" s="84">
        <f t="shared" si="2"/>
        <v>0</v>
      </c>
      <c r="O41" s="80">
        <f t="shared" si="3"/>
        <v>0</v>
      </c>
      <c r="P41" s="248">
        <f t="shared" ca="1" si="4"/>
        <v>0</v>
      </c>
      <c r="Q41" s="85">
        <f t="shared" ca="1" si="5"/>
        <v>0</v>
      </c>
      <c r="R41" s="305"/>
    </row>
    <row r="42" spans="1:18" ht="24" customHeight="1" x14ac:dyDescent="0.2">
      <c r="A42" s="81">
        <f t="shared" si="0"/>
        <v>18</v>
      </c>
      <c r="B42" s="82" t="s">
        <v>276</v>
      </c>
      <c r="C42" s="82"/>
      <c r="D42" s="151">
        <v>12</v>
      </c>
      <c r="E42" s="82" t="s">
        <v>446</v>
      </c>
      <c r="F42" s="82" t="s">
        <v>436</v>
      </c>
      <c r="G42" s="83">
        <v>25.84</v>
      </c>
      <c r="H42" s="245" t="s">
        <v>79</v>
      </c>
      <c r="I42" s="246">
        <f>VLOOKUP($H42,Leistungswerte!$A$8:$E$54,3,FALSE)</f>
        <v>5</v>
      </c>
      <c r="J42" s="246">
        <f>VLOOKUP($H42,Leistungswerte!$A$8:$E$54,4,FALSE)</f>
        <v>0</v>
      </c>
      <c r="K42" s="246">
        <f>VLOOKUP($H42,Leistungswerte!$A$8:$E$54,5,FALSE)</f>
        <v>0</v>
      </c>
      <c r="L42" s="83">
        <f t="shared" si="1"/>
        <v>5012.96</v>
      </c>
      <c r="M42" s="247">
        <f>VLOOKUP($H42,Leistungswerte!$A$8:$F$54,$P$2,FALSE)</f>
        <v>0</v>
      </c>
      <c r="N42" s="84">
        <f t="shared" si="2"/>
        <v>0</v>
      </c>
      <c r="O42" s="80">
        <f t="shared" si="3"/>
        <v>0</v>
      </c>
      <c r="P42" s="248">
        <f t="shared" ca="1" si="4"/>
        <v>0</v>
      </c>
      <c r="Q42" s="85">
        <f t="shared" ca="1" si="5"/>
        <v>0</v>
      </c>
      <c r="R42" s="305"/>
    </row>
    <row r="43" spans="1:18" ht="24" customHeight="1" x14ac:dyDescent="0.2">
      <c r="A43" s="81">
        <f t="shared" si="0"/>
        <v>19</v>
      </c>
      <c r="B43" s="82" t="s">
        <v>276</v>
      </c>
      <c r="C43" s="82"/>
      <c r="D43" s="151">
        <v>13</v>
      </c>
      <c r="E43" s="82" t="s">
        <v>285</v>
      </c>
      <c r="F43" s="82" t="s">
        <v>441</v>
      </c>
      <c r="G43" s="83">
        <v>18.61</v>
      </c>
      <c r="H43" s="245" t="s">
        <v>81</v>
      </c>
      <c r="I43" s="246">
        <f>VLOOKUP($H43,Leistungswerte!$A$8:$E$54,3,FALSE)</f>
        <v>0</v>
      </c>
      <c r="J43" s="246">
        <f>VLOOKUP($H43,Leistungswerte!$A$8:$E$54,4,FALSE)</f>
        <v>0</v>
      </c>
      <c r="K43" s="246">
        <f>VLOOKUP($H43,Leistungswerte!$A$8:$E$54,5,FALSE)</f>
        <v>4</v>
      </c>
      <c r="L43" s="83">
        <f t="shared" si="1"/>
        <v>74.44</v>
      </c>
      <c r="M43" s="247">
        <f>VLOOKUP($H43,Leistungswerte!$A$8:$F$54,$P$2,FALSE)</f>
        <v>0</v>
      </c>
      <c r="N43" s="84">
        <f t="shared" si="2"/>
        <v>0</v>
      </c>
      <c r="O43" s="80">
        <f t="shared" si="3"/>
        <v>0</v>
      </c>
      <c r="P43" s="248">
        <f t="shared" ca="1" si="4"/>
        <v>0</v>
      </c>
      <c r="Q43" s="85">
        <f t="shared" ca="1" si="5"/>
        <v>0</v>
      </c>
      <c r="R43" s="305"/>
    </row>
    <row r="44" spans="1:18" ht="24" customHeight="1" x14ac:dyDescent="0.2">
      <c r="A44" s="81">
        <f t="shared" si="0"/>
        <v>20</v>
      </c>
      <c r="B44" s="82" t="s">
        <v>276</v>
      </c>
      <c r="C44" s="82"/>
      <c r="D44" s="151">
        <v>14</v>
      </c>
      <c r="E44" s="82" t="s">
        <v>323</v>
      </c>
      <c r="F44" s="82" t="s">
        <v>434</v>
      </c>
      <c r="G44" s="83">
        <v>14.05</v>
      </c>
      <c r="H44" s="245" t="s">
        <v>73</v>
      </c>
      <c r="I44" s="246">
        <f>VLOOKUP($H44,Leistungswerte!$A$8:$E$54,3,FALSE)</f>
        <v>1</v>
      </c>
      <c r="J44" s="246">
        <f>VLOOKUP($H44,Leistungswerte!$A$8:$E$54,4,FALSE)</f>
        <v>0</v>
      </c>
      <c r="K44" s="246">
        <f>VLOOKUP($H44,Leistungswerte!$A$8:$E$54,5,FALSE)</f>
        <v>0</v>
      </c>
      <c r="L44" s="83">
        <f t="shared" si="1"/>
        <v>545.14</v>
      </c>
      <c r="M44" s="247">
        <f>VLOOKUP($H44,Leistungswerte!$A$8:$F$54,$P$2,FALSE)</f>
        <v>0</v>
      </c>
      <c r="N44" s="84">
        <f t="shared" si="2"/>
        <v>0</v>
      </c>
      <c r="O44" s="80">
        <f t="shared" si="3"/>
        <v>0</v>
      </c>
      <c r="P44" s="248">
        <f t="shared" ca="1" si="4"/>
        <v>0</v>
      </c>
      <c r="Q44" s="85">
        <f t="shared" ca="1" si="5"/>
        <v>0</v>
      </c>
      <c r="R44" s="305"/>
    </row>
    <row r="45" spans="1:18" ht="24" customHeight="1" x14ac:dyDescent="0.2">
      <c r="A45" s="81">
        <f t="shared" si="0"/>
        <v>21</v>
      </c>
      <c r="B45" s="82" t="s">
        <v>276</v>
      </c>
      <c r="C45" s="82"/>
      <c r="D45" s="151">
        <v>15</v>
      </c>
      <c r="E45" s="82" t="s">
        <v>359</v>
      </c>
      <c r="F45" s="82" t="s">
        <v>441</v>
      </c>
      <c r="G45" s="83">
        <v>7.1</v>
      </c>
      <c r="H45" s="245" t="s">
        <v>84</v>
      </c>
      <c r="I45" s="246">
        <f>VLOOKUP($H45,Leistungswerte!$A$8:$E$54,3,FALSE)</f>
        <v>5</v>
      </c>
      <c r="J45" s="246">
        <f>VLOOKUP($H45,Leistungswerte!$A$8:$E$54,4,FALSE)</f>
        <v>0</v>
      </c>
      <c r="K45" s="246">
        <f>VLOOKUP($H45,Leistungswerte!$A$8:$E$54,5,FALSE)</f>
        <v>0</v>
      </c>
      <c r="L45" s="83">
        <f t="shared" si="1"/>
        <v>1377.3999999999999</v>
      </c>
      <c r="M45" s="247">
        <f>VLOOKUP($H45,Leistungswerte!$A$8:$F$54,$P$2,FALSE)</f>
        <v>0</v>
      </c>
      <c r="N45" s="84">
        <f t="shared" si="2"/>
        <v>0</v>
      </c>
      <c r="O45" s="80">
        <f t="shared" si="3"/>
        <v>0</v>
      </c>
      <c r="P45" s="248">
        <f t="shared" ca="1" si="4"/>
        <v>0</v>
      </c>
      <c r="Q45" s="85">
        <f t="shared" ca="1" si="5"/>
        <v>0</v>
      </c>
      <c r="R45" s="305"/>
    </row>
    <row r="46" spans="1:18" ht="24" customHeight="1" x14ac:dyDescent="0.2">
      <c r="A46" s="81">
        <f t="shared" si="0"/>
        <v>22</v>
      </c>
      <c r="B46" s="82" t="s">
        <v>276</v>
      </c>
      <c r="C46" s="82"/>
      <c r="D46" s="151">
        <v>16</v>
      </c>
      <c r="E46" s="82" t="s">
        <v>360</v>
      </c>
      <c r="F46" s="82" t="s">
        <v>434</v>
      </c>
      <c r="G46" s="83">
        <v>15.39</v>
      </c>
      <c r="H46" s="245" t="s">
        <v>75</v>
      </c>
      <c r="I46" s="246">
        <f>VLOOKUP($H46,Leistungswerte!$A$8:$E$54,3,FALSE)</f>
        <v>5</v>
      </c>
      <c r="J46" s="246">
        <f>VLOOKUP($H46,Leistungswerte!$A$8:$E$54,4,FALSE)</f>
        <v>0</v>
      </c>
      <c r="K46" s="246">
        <f>VLOOKUP($H46,Leistungswerte!$A$8:$E$54,5,FALSE)</f>
        <v>0</v>
      </c>
      <c r="L46" s="83">
        <f t="shared" si="1"/>
        <v>2985.6600000000003</v>
      </c>
      <c r="M46" s="247">
        <f>VLOOKUP($H46,Leistungswerte!$A$8:$F$54,$P$2,FALSE)</f>
        <v>0</v>
      </c>
      <c r="N46" s="84">
        <f t="shared" si="2"/>
        <v>0</v>
      </c>
      <c r="O46" s="80">
        <f t="shared" si="3"/>
        <v>0</v>
      </c>
      <c r="P46" s="248">
        <f t="shared" ca="1" si="4"/>
        <v>0</v>
      </c>
      <c r="Q46" s="85">
        <f t="shared" ca="1" si="5"/>
        <v>0</v>
      </c>
      <c r="R46" s="305"/>
    </row>
    <row r="47" spans="1:18" ht="24" customHeight="1" x14ac:dyDescent="0.2">
      <c r="A47" s="81">
        <f t="shared" si="0"/>
        <v>23</v>
      </c>
      <c r="B47" s="82" t="s">
        <v>276</v>
      </c>
      <c r="C47" s="82"/>
      <c r="D47" s="151">
        <v>17</v>
      </c>
      <c r="E47" s="82" t="s">
        <v>415</v>
      </c>
      <c r="F47" s="82" t="s">
        <v>436</v>
      </c>
      <c r="G47" s="83">
        <v>5.24</v>
      </c>
      <c r="H47" s="245" t="s">
        <v>79</v>
      </c>
      <c r="I47" s="246">
        <f>VLOOKUP($H47,Leistungswerte!$A$8:$E$54,3,FALSE)</f>
        <v>5</v>
      </c>
      <c r="J47" s="246">
        <f>VLOOKUP($H47,Leistungswerte!$A$8:$E$54,4,FALSE)</f>
        <v>0</v>
      </c>
      <c r="K47" s="246">
        <f>VLOOKUP($H47,Leistungswerte!$A$8:$E$54,5,FALSE)</f>
        <v>0</v>
      </c>
      <c r="L47" s="83">
        <f t="shared" si="1"/>
        <v>1016.5600000000001</v>
      </c>
      <c r="M47" s="247">
        <f>VLOOKUP($H47,Leistungswerte!$A$8:$F$54,$P$2,FALSE)</f>
        <v>0</v>
      </c>
      <c r="N47" s="84">
        <f t="shared" si="2"/>
        <v>0</v>
      </c>
      <c r="O47" s="80">
        <f t="shared" si="3"/>
        <v>0</v>
      </c>
      <c r="P47" s="248">
        <f t="shared" ca="1" si="4"/>
        <v>0</v>
      </c>
      <c r="Q47" s="85">
        <f t="shared" ca="1" si="5"/>
        <v>0</v>
      </c>
      <c r="R47" s="305"/>
    </row>
    <row r="48" spans="1:18" ht="24" customHeight="1" x14ac:dyDescent="0.2">
      <c r="A48" s="81">
        <f t="shared" si="0"/>
        <v>24</v>
      </c>
      <c r="B48" s="82" t="s">
        <v>276</v>
      </c>
      <c r="C48" s="82"/>
      <c r="D48" s="151">
        <v>18</v>
      </c>
      <c r="E48" s="82" t="s">
        <v>414</v>
      </c>
      <c r="F48" s="82" t="s">
        <v>436</v>
      </c>
      <c r="G48" s="83">
        <v>5.24</v>
      </c>
      <c r="H48" s="245" t="s">
        <v>79</v>
      </c>
      <c r="I48" s="246">
        <f>VLOOKUP($H48,Leistungswerte!$A$8:$E$54,3,FALSE)</f>
        <v>5</v>
      </c>
      <c r="J48" s="246">
        <f>VLOOKUP($H48,Leistungswerte!$A$8:$E$54,4,FALSE)</f>
        <v>0</v>
      </c>
      <c r="K48" s="246">
        <f>VLOOKUP($H48,Leistungswerte!$A$8:$E$54,5,FALSE)</f>
        <v>0</v>
      </c>
      <c r="L48" s="83">
        <f t="shared" si="1"/>
        <v>1016.5600000000001</v>
      </c>
      <c r="M48" s="247">
        <f>VLOOKUP($H48,Leistungswerte!$A$8:$F$54,$P$2,FALSE)</f>
        <v>0</v>
      </c>
      <c r="N48" s="84">
        <f t="shared" si="2"/>
        <v>0</v>
      </c>
      <c r="O48" s="80">
        <f t="shared" si="3"/>
        <v>0</v>
      </c>
      <c r="P48" s="248">
        <f t="shared" ca="1" si="4"/>
        <v>0</v>
      </c>
      <c r="Q48" s="85">
        <f t="shared" ca="1" si="5"/>
        <v>0</v>
      </c>
      <c r="R48" s="305"/>
    </row>
    <row r="49" spans="1:18" ht="24" customHeight="1" x14ac:dyDescent="0.2">
      <c r="A49" s="81">
        <f t="shared" si="0"/>
        <v>25</v>
      </c>
      <c r="B49" s="82" t="s">
        <v>276</v>
      </c>
      <c r="C49" s="82"/>
      <c r="D49" s="151">
        <v>19</v>
      </c>
      <c r="E49" s="82" t="s">
        <v>361</v>
      </c>
      <c r="F49" s="82" t="s">
        <v>434</v>
      </c>
      <c r="G49" s="83">
        <v>13.45</v>
      </c>
      <c r="H49" s="245" t="s">
        <v>73</v>
      </c>
      <c r="I49" s="246">
        <f>VLOOKUP($H49,Leistungswerte!$A$8:$E$54,3,FALSE)</f>
        <v>1</v>
      </c>
      <c r="J49" s="246">
        <f>VLOOKUP($H49,Leistungswerte!$A$8:$E$54,4,FALSE)</f>
        <v>0</v>
      </c>
      <c r="K49" s="246">
        <f>VLOOKUP($H49,Leistungswerte!$A$8:$E$54,5,FALSE)</f>
        <v>0</v>
      </c>
      <c r="L49" s="83">
        <f t="shared" si="1"/>
        <v>521.8599999999999</v>
      </c>
      <c r="M49" s="247">
        <f>VLOOKUP($H49,Leistungswerte!$A$8:$F$54,$P$2,FALSE)</f>
        <v>0</v>
      </c>
      <c r="N49" s="84">
        <f t="shared" si="2"/>
        <v>0</v>
      </c>
      <c r="O49" s="80">
        <f t="shared" si="3"/>
        <v>0</v>
      </c>
      <c r="P49" s="248">
        <f t="shared" ca="1" si="4"/>
        <v>0</v>
      </c>
      <c r="Q49" s="85">
        <f t="shared" ca="1" si="5"/>
        <v>0</v>
      </c>
      <c r="R49" s="305"/>
    </row>
    <row r="50" spans="1:18" ht="24" customHeight="1" x14ac:dyDescent="0.2">
      <c r="A50" s="81">
        <f t="shared" si="0"/>
        <v>26</v>
      </c>
      <c r="B50" s="82" t="s">
        <v>276</v>
      </c>
      <c r="C50" s="82"/>
      <c r="D50" s="151">
        <v>20</v>
      </c>
      <c r="E50" s="82" t="s">
        <v>361</v>
      </c>
      <c r="F50" s="82" t="s">
        <v>435</v>
      </c>
      <c r="G50" s="83">
        <v>6.2</v>
      </c>
      <c r="H50" s="245" t="s">
        <v>73</v>
      </c>
      <c r="I50" s="246">
        <f>VLOOKUP($H50,Leistungswerte!$A$8:$E$54,3,FALSE)</f>
        <v>1</v>
      </c>
      <c r="J50" s="246">
        <f>VLOOKUP($H50,Leistungswerte!$A$8:$E$54,4,FALSE)</f>
        <v>0</v>
      </c>
      <c r="K50" s="246">
        <f>VLOOKUP($H50,Leistungswerte!$A$8:$E$54,5,FALSE)</f>
        <v>0</v>
      </c>
      <c r="L50" s="83">
        <f t="shared" si="1"/>
        <v>240.56</v>
      </c>
      <c r="M50" s="247">
        <f>VLOOKUP($H50,Leistungswerte!$A$8:$F$54,$P$2,FALSE)</f>
        <v>0</v>
      </c>
      <c r="N50" s="84">
        <f t="shared" si="2"/>
        <v>0</v>
      </c>
      <c r="O50" s="80">
        <f t="shared" si="3"/>
        <v>0</v>
      </c>
      <c r="P50" s="248">
        <f t="shared" ca="1" si="4"/>
        <v>0</v>
      </c>
      <c r="Q50" s="85">
        <f t="shared" ca="1" si="5"/>
        <v>0</v>
      </c>
      <c r="R50" s="305"/>
    </row>
    <row r="51" spans="1:18" ht="24" customHeight="1" x14ac:dyDescent="0.2">
      <c r="A51" s="81">
        <f t="shared" si="0"/>
        <v>27</v>
      </c>
      <c r="B51" s="82" t="s">
        <v>276</v>
      </c>
      <c r="C51" s="82"/>
      <c r="D51" s="151">
        <v>21</v>
      </c>
      <c r="E51" s="82" t="s">
        <v>304</v>
      </c>
      <c r="F51" s="82" t="s">
        <v>434</v>
      </c>
      <c r="G51" s="83">
        <v>48.37</v>
      </c>
      <c r="H51" s="245" t="s">
        <v>73</v>
      </c>
      <c r="I51" s="246">
        <f>VLOOKUP($H51,Leistungswerte!$A$8:$E$54,3,FALSE)</f>
        <v>1</v>
      </c>
      <c r="J51" s="246">
        <f>VLOOKUP($H51,Leistungswerte!$A$8:$E$54,4,FALSE)</f>
        <v>0</v>
      </c>
      <c r="K51" s="246">
        <f>VLOOKUP($H51,Leistungswerte!$A$8:$E$54,5,FALSE)</f>
        <v>0</v>
      </c>
      <c r="L51" s="83">
        <f t="shared" si="1"/>
        <v>1876.7559999999999</v>
      </c>
      <c r="M51" s="247">
        <f>VLOOKUP($H51,Leistungswerte!$A$8:$F$54,$P$2,FALSE)</f>
        <v>0</v>
      </c>
      <c r="N51" s="84">
        <f t="shared" si="2"/>
        <v>0</v>
      </c>
      <c r="O51" s="80">
        <f t="shared" si="3"/>
        <v>0</v>
      </c>
      <c r="P51" s="248">
        <f t="shared" ca="1" si="4"/>
        <v>0</v>
      </c>
      <c r="Q51" s="85">
        <f t="shared" ca="1" si="5"/>
        <v>0</v>
      </c>
      <c r="R51" s="305"/>
    </row>
    <row r="52" spans="1:18" ht="24" customHeight="1" x14ac:dyDescent="0.2">
      <c r="A52" s="81">
        <f t="shared" si="0"/>
        <v>28</v>
      </c>
      <c r="B52" s="82" t="s">
        <v>276</v>
      </c>
      <c r="C52" s="82"/>
      <c r="D52" s="151">
        <v>22</v>
      </c>
      <c r="E52" s="82" t="s">
        <v>362</v>
      </c>
      <c r="F52" s="82" t="s">
        <v>434</v>
      </c>
      <c r="G52" s="83">
        <v>14.05</v>
      </c>
      <c r="H52" s="245" t="s">
        <v>73</v>
      </c>
      <c r="I52" s="246">
        <f>VLOOKUP($H52,Leistungswerte!$A$8:$E$54,3,FALSE)</f>
        <v>1</v>
      </c>
      <c r="J52" s="246">
        <f>VLOOKUP($H52,Leistungswerte!$A$8:$E$54,4,FALSE)</f>
        <v>0</v>
      </c>
      <c r="K52" s="246">
        <f>VLOOKUP($H52,Leistungswerte!$A$8:$E$54,5,FALSE)</f>
        <v>0</v>
      </c>
      <c r="L52" s="83">
        <f t="shared" si="1"/>
        <v>545.14</v>
      </c>
      <c r="M52" s="247">
        <f>VLOOKUP($H52,Leistungswerte!$A$8:$F$54,$P$2,FALSE)</f>
        <v>0</v>
      </c>
      <c r="N52" s="84">
        <f t="shared" si="2"/>
        <v>0</v>
      </c>
      <c r="O52" s="80">
        <f t="shared" si="3"/>
        <v>0</v>
      </c>
      <c r="P52" s="248">
        <f t="shared" ca="1" si="4"/>
        <v>0</v>
      </c>
      <c r="Q52" s="85">
        <f t="shared" ca="1" si="5"/>
        <v>0</v>
      </c>
      <c r="R52" s="305"/>
    </row>
    <row r="53" spans="1:18" ht="24" customHeight="1" x14ac:dyDescent="0.2">
      <c r="A53" s="81">
        <f t="shared" si="0"/>
        <v>29</v>
      </c>
      <c r="B53" s="82" t="s">
        <v>276</v>
      </c>
      <c r="C53" s="82"/>
      <c r="D53" s="151">
        <v>23</v>
      </c>
      <c r="E53" s="82" t="s">
        <v>359</v>
      </c>
      <c r="F53" s="82" t="s">
        <v>441</v>
      </c>
      <c r="G53" s="83">
        <v>7.1</v>
      </c>
      <c r="H53" s="245" t="s">
        <v>84</v>
      </c>
      <c r="I53" s="246">
        <f>VLOOKUP($H53,Leistungswerte!$A$8:$E$54,3,FALSE)</f>
        <v>5</v>
      </c>
      <c r="J53" s="246">
        <f>VLOOKUP($H53,Leistungswerte!$A$8:$E$54,4,FALSE)</f>
        <v>0</v>
      </c>
      <c r="K53" s="246">
        <f>VLOOKUP($H53,Leistungswerte!$A$8:$E$54,5,FALSE)</f>
        <v>0</v>
      </c>
      <c r="L53" s="83">
        <f t="shared" si="1"/>
        <v>1377.3999999999999</v>
      </c>
      <c r="M53" s="247">
        <f>VLOOKUP($H53,Leistungswerte!$A$8:$F$54,$P$2,FALSE)</f>
        <v>0</v>
      </c>
      <c r="N53" s="84">
        <f t="shared" si="2"/>
        <v>0</v>
      </c>
      <c r="O53" s="80">
        <f t="shared" si="3"/>
        <v>0</v>
      </c>
      <c r="P53" s="248">
        <f t="shared" ca="1" si="4"/>
        <v>0</v>
      </c>
      <c r="Q53" s="85">
        <f t="shared" ca="1" si="5"/>
        <v>0</v>
      </c>
      <c r="R53" s="305"/>
    </row>
    <row r="54" spans="1:18" ht="24" customHeight="1" x14ac:dyDescent="0.2">
      <c r="A54" s="81">
        <f t="shared" si="0"/>
        <v>30</v>
      </c>
      <c r="B54" s="82" t="s">
        <v>276</v>
      </c>
      <c r="C54" s="82"/>
      <c r="D54" s="151">
        <v>24</v>
      </c>
      <c r="E54" s="82" t="s">
        <v>272</v>
      </c>
      <c r="F54" s="82" t="s">
        <v>441</v>
      </c>
      <c r="G54" s="83">
        <v>3.63</v>
      </c>
      <c r="H54" s="245" t="s">
        <v>76</v>
      </c>
      <c r="I54" s="246">
        <f>VLOOKUP($H54,Leistungswerte!$A$8:$E$54,3,FALSE)</f>
        <v>5</v>
      </c>
      <c r="J54" s="246">
        <f>VLOOKUP($H54,Leistungswerte!$A$8:$E$54,4,FALSE)</f>
        <v>0</v>
      </c>
      <c r="K54" s="246">
        <f>VLOOKUP($H54,Leistungswerte!$A$8:$E$54,5,FALSE)</f>
        <v>0</v>
      </c>
      <c r="L54" s="83">
        <f t="shared" si="1"/>
        <v>704.22</v>
      </c>
      <c r="M54" s="247">
        <f>VLOOKUP($H54,Leistungswerte!$A$8:$F$54,$P$2,FALSE)</f>
        <v>0</v>
      </c>
      <c r="N54" s="84">
        <f t="shared" si="2"/>
        <v>0</v>
      </c>
      <c r="O54" s="80">
        <f t="shared" si="3"/>
        <v>0</v>
      </c>
      <c r="P54" s="248">
        <f t="shared" ca="1" si="4"/>
        <v>0</v>
      </c>
      <c r="Q54" s="85">
        <f t="shared" ca="1" si="5"/>
        <v>0</v>
      </c>
      <c r="R54" s="305"/>
    </row>
    <row r="55" spans="1:18" ht="24" customHeight="1" x14ac:dyDescent="0.2">
      <c r="A55" s="81">
        <f t="shared" si="0"/>
        <v>31</v>
      </c>
      <c r="B55" s="82" t="s">
        <v>276</v>
      </c>
      <c r="C55" s="82"/>
      <c r="D55" s="151">
        <v>25</v>
      </c>
      <c r="E55" s="82" t="s">
        <v>268</v>
      </c>
      <c r="F55" s="82" t="s">
        <v>441</v>
      </c>
      <c r="G55" s="83">
        <v>4.62</v>
      </c>
      <c r="H55" s="245" t="s">
        <v>75</v>
      </c>
      <c r="I55" s="246">
        <f>VLOOKUP($H55,Leistungswerte!$A$8:$E$54,3,FALSE)</f>
        <v>5</v>
      </c>
      <c r="J55" s="246">
        <f>VLOOKUP($H55,Leistungswerte!$A$8:$E$54,4,FALSE)</f>
        <v>0</v>
      </c>
      <c r="K55" s="246">
        <f>VLOOKUP($H55,Leistungswerte!$A$8:$E$54,5,FALSE)</f>
        <v>0</v>
      </c>
      <c r="L55" s="83">
        <f t="shared" si="1"/>
        <v>896.28</v>
      </c>
      <c r="M55" s="247">
        <f>VLOOKUP($H55,Leistungswerte!$A$8:$F$54,$P$2,FALSE)</f>
        <v>0</v>
      </c>
      <c r="N55" s="84">
        <f t="shared" si="2"/>
        <v>0</v>
      </c>
      <c r="O55" s="80">
        <f t="shared" si="3"/>
        <v>0</v>
      </c>
      <c r="P55" s="248">
        <f t="shared" ca="1" si="4"/>
        <v>0</v>
      </c>
      <c r="Q55" s="85">
        <f t="shared" ca="1" si="5"/>
        <v>0</v>
      </c>
      <c r="R55" s="305"/>
    </row>
    <row r="56" spans="1:18" ht="24" customHeight="1" x14ac:dyDescent="0.2">
      <c r="A56" s="81">
        <f t="shared" si="0"/>
        <v>32</v>
      </c>
      <c r="B56" s="82" t="s">
        <v>276</v>
      </c>
      <c r="C56" s="82"/>
      <c r="D56" s="151">
        <v>26</v>
      </c>
      <c r="E56" s="82" t="s">
        <v>299</v>
      </c>
      <c r="F56" s="82" t="s">
        <v>435</v>
      </c>
      <c r="G56" s="83">
        <v>63.93</v>
      </c>
      <c r="H56" s="245" t="s">
        <v>91</v>
      </c>
      <c r="I56" s="246">
        <f>VLOOKUP($H56,Leistungswerte!$A$8:$E$54,3,FALSE)</f>
        <v>5</v>
      </c>
      <c r="J56" s="246">
        <f>VLOOKUP($H56,Leistungswerte!$A$8:$E$54,4,FALSE)</f>
        <v>0</v>
      </c>
      <c r="K56" s="246">
        <f>VLOOKUP($H56,Leistungswerte!$A$8:$E$54,5,FALSE)</f>
        <v>0</v>
      </c>
      <c r="L56" s="83">
        <f t="shared" si="1"/>
        <v>12402.42</v>
      </c>
      <c r="M56" s="247">
        <f>VLOOKUP($H56,Leistungswerte!$A$8:$F$54,$P$2,FALSE)</f>
        <v>0</v>
      </c>
      <c r="N56" s="84">
        <f t="shared" si="2"/>
        <v>0</v>
      </c>
      <c r="O56" s="80">
        <f t="shared" si="3"/>
        <v>0</v>
      </c>
      <c r="P56" s="248">
        <f t="shared" ca="1" si="4"/>
        <v>0</v>
      </c>
      <c r="Q56" s="85">
        <f t="shared" ca="1" si="5"/>
        <v>0</v>
      </c>
      <c r="R56" s="305"/>
    </row>
    <row r="57" spans="1:18" ht="24" customHeight="1" x14ac:dyDescent="0.2">
      <c r="A57" s="81">
        <f t="shared" si="0"/>
        <v>33</v>
      </c>
      <c r="B57" s="82" t="s">
        <v>276</v>
      </c>
      <c r="C57" s="82"/>
      <c r="D57" s="151">
        <v>27</v>
      </c>
      <c r="E57" s="82" t="s">
        <v>303</v>
      </c>
      <c r="F57" s="82" t="s">
        <v>434</v>
      </c>
      <c r="G57" s="83">
        <v>14.05</v>
      </c>
      <c r="H57" s="245" t="s">
        <v>73</v>
      </c>
      <c r="I57" s="246">
        <f>VLOOKUP($H57,Leistungswerte!$A$8:$E$54,3,FALSE)</f>
        <v>1</v>
      </c>
      <c r="J57" s="246">
        <f>VLOOKUP($H57,Leistungswerte!$A$8:$E$54,4,FALSE)</f>
        <v>0</v>
      </c>
      <c r="K57" s="246">
        <f>VLOOKUP($H57,Leistungswerte!$A$8:$E$54,5,FALSE)</f>
        <v>0</v>
      </c>
      <c r="L57" s="83">
        <f t="shared" si="1"/>
        <v>545.14</v>
      </c>
      <c r="M57" s="247">
        <f>VLOOKUP($H57,Leistungswerte!$A$8:$F$54,$P$2,FALSE)</f>
        <v>0</v>
      </c>
      <c r="N57" s="84">
        <f t="shared" si="2"/>
        <v>0</v>
      </c>
      <c r="O57" s="80">
        <f t="shared" si="3"/>
        <v>0</v>
      </c>
      <c r="P57" s="248">
        <f t="shared" ca="1" si="4"/>
        <v>0</v>
      </c>
      <c r="Q57" s="85">
        <f t="shared" ca="1" si="5"/>
        <v>0</v>
      </c>
      <c r="R57" s="305"/>
    </row>
    <row r="58" spans="1:18" ht="24" customHeight="1" x14ac:dyDescent="0.2">
      <c r="A58" s="81">
        <f t="shared" si="0"/>
        <v>34</v>
      </c>
      <c r="B58" s="82" t="s">
        <v>276</v>
      </c>
      <c r="C58" s="82"/>
      <c r="D58" s="151">
        <v>28</v>
      </c>
      <c r="E58" s="82" t="s">
        <v>298</v>
      </c>
      <c r="F58" s="82" t="s">
        <v>441</v>
      </c>
      <c r="G58" s="83">
        <v>9.08</v>
      </c>
      <c r="H58" s="245" t="s">
        <v>81</v>
      </c>
      <c r="I58" s="335">
        <v>1</v>
      </c>
      <c r="J58" s="246">
        <f>VLOOKUP($H58,Leistungswerte!$A$8:$E$54,4,FALSE)</f>
        <v>0</v>
      </c>
      <c r="K58" s="246"/>
      <c r="L58" s="83">
        <f t="shared" si="1"/>
        <v>352.30399999999997</v>
      </c>
      <c r="M58" s="247">
        <f>VLOOKUP($H58,Leistungswerte!$A$8:$F$54,$P$2,FALSE)</f>
        <v>0</v>
      </c>
      <c r="N58" s="84">
        <f t="shared" si="2"/>
        <v>0</v>
      </c>
      <c r="O58" s="80">
        <f t="shared" si="3"/>
        <v>0</v>
      </c>
      <c r="P58" s="248">
        <f t="shared" ca="1" si="4"/>
        <v>0</v>
      </c>
      <c r="Q58" s="85">
        <f t="shared" ca="1" si="5"/>
        <v>0</v>
      </c>
      <c r="R58" s="305"/>
    </row>
    <row r="59" spans="1:18" ht="24" customHeight="1" x14ac:dyDescent="0.2">
      <c r="A59" s="81">
        <f t="shared" si="0"/>
        <v>35</v>
      </c>
      <c r="B59" s="82" t="s">
        <v>276</v>
      </c>
      <c r="C59" s="82"/>
      <c r="D59" s="151">
        <v>29</v>
      </c>
      <c r="E59" s="82" t="s">
        <v>267</v>
      </c>
      <c r="F59" s="82" t="s">
        <v>441</v>
      </c>
      <c r="G59" s="83">
        <v>8.93</v>
      </c>
      <c r="H59" s="245" t="s">
        <v>84</v>
      </c>
      <c r="I59" s="246">
        <f>VLOOKUP($H59,Leistungswerte!$A$8:$E$54,3,FALSE)</f>
        <v>5</v>
      </c>
      <c r="J59" s="246">
        <f>VLOOKUP($H59,Leistungswerte!$A$8:$E$54,4,FALSE)</f>
        <v>0</v>
      </c>
      <c r="K59" s="246">
        <f>VLOOKUP($H59,Leistungswerte!$A$8:$E$54,5,FALSE)</f>
        <v>0</v>
      </c>
      <c r="L59" s="83">
        <f t="shared" si="1"/>
        <v>1732.4199999999998</v>
      </c>
      <c r="M59" s="247">
        <f>VLOOKUP($H59,Leistungswerte!$A$8:$F$54,$P$2,FALSE)</f>
        <v>0</v>
      </c>
      <c r="N59" s="84">
        <f t="shared" si="2"/>
        <v>0</v>
      </c>
      <c r="O59" s="80">
        <f t="shared" si="3"/>
        <v>0</v>
      </c>
      <c r="P59" s="248">
        <f t="shared" ca="1" si="4"/>
        <v>0</v>
      </c>
      <c r="Q59" s="85">
        <f t="shared" ca="1" si="5"/>
        <v>0</v>
      </c>
      <c r="R59" s="305"/>
    </row>
    <row r="60" spans="1:18" ht="24" customHeight="1" x14ac:dyDescent="0.2">
      <c r="A60" s="81">
        <f t="shared" si="0"/>
        <v>36</v>
      </c>
      <c r="B60" s="82" t="s">
        <v>276</v>
      </c>
      <c r="C60" s="82"/>
      <c r="D60" s="151">
        <v>30</v>
      </c>
      <c r="E60" s="82" t="s">
        <v>363</v>
      </c>
      <c r="F60" s="82" t="s">
        <v>441</v>
      </c>
      <c r="G60" s="83">
        <v>77.849999999999994</v>
      </c>
      <c r="H60" s="245" t="s">
        <v>75</v>
      </c>
      <c r="I60" s="246">
        <f>VLOOKUP($H60,Leistungswerte!$A$8:$E$54,3,FALSE)</f>
        <v>5</v>
      </c>
      <c r="J60" s="246">
        <f>VLOOKUP($H60,Leistungswerte!$A$8:$E$54,4,FALSE)</f>
        <v>0</v>
      </c>
      <c r="K60" s="246">
        <f>VLOOKUP($H60,Leistungswerte!$A$8:$E$54,5,FALSE)</f>
        <v>0</v>
      </c>
      <c r="L60" s="83">
        <f t="shared" si="1"/>
        <v>15102.9</v>
      </c>
      <c r="M60" s="247">
        <f>VLOOKUP($H60,Leistungswerte!$A$8:$F$54,$P$2,FALSE)</f>
        <v>0</v>
      </c>
      <c r="N60" s="84">
        <f t="shared" si="2"/>
        <v>0</v>
      </c>
      <c r="O60" s="80">
        <f t="shared" si="3"/>
        <v>0</v>
      </c>
      <c r="P60" s="248">
        <f t="shared" ca="1" si="4"/>
        <v>0</v>
      </c>
      <c r="Q60" s="85">
        <f t="shared" ca="1" si="5"/>
        <v>0</v>
      </c>
      <c r="R60" s="305"/>
    </row>
    <row r="61" spans="1:18" ht="24" customHeight="1" x14ac:dyDescent="0.2">
      <c r="A61" s="81">
        <f t="shared" si="0"/>
        <v>37</v>
      </c>
      <c r="B61" s="82" t="s">
        <v>276</v>
      </c>
      <c r="C61" s="82"/>
      <c r="D61" s="151">
        <v>31</v>
      </c>
      <c r="E61" s="82" t="s">
        <v>364</v>
      </c>
      <c r="F61" s="82" t="s">
        <v>435</v>
      </c>
      <c r="G61" s="83">
        <v>20</v>
      </c>
      <c r="H61" s="245" t="s">
        <v>74</v>
      </c>
      <c r="I61" s="246">
        <f>VLOOKUP($H61,Leistungswerte!$A$8:$E$54,3,FALSE)</f>
        <v>1</v>
      </c>
      <c r="J61" s="246">
        <f>VLOOKUP($H61,Leistungswerte!$A$8:$E$54,4,FALSE)</f>
        <v>0</v>
      </c>
      <c r="K61" s="246">
        <f>VLOOKUP($H61,Leistungswerte!$A$8:$E$54,5,FALSE)</f>
        <v>0</v>
      </c>
      <c r="L61" s="83">
        <f t="shared" si="1"/>
        <v>776</v>
      </c>
      <c r="M61" s="247">
        <f>VLOOKUP($H61,Leistungswerte!$A$8:$F$54,$P$2,FALSE)</f>
        <v>0</v>
      </c>
      <c r="N61" s="84">
        <f t="shared" si="2"/>
        <v>0</v>
      </c>
      <c r="O61" s="80">
        <f t="shared" si="3"/>
        <v>0</v>
      </c>
      <c r="P61" s="248">
        <f t="shared" ca="1" si="4"/>
        <v>0</v>
      </c>
      <c r="Q61" s="85">
        <f t="shared" ca="1" si="5"/>
        <v>0</v>
      </c>
      <c r="R61" s="305"/>
    </row>
    <row r="62" spans="1:18" ht="24" customHeight="1" x14ac:dyDescent="0.2">
      <c r="A62" s="81">
        <f t="shared" si="0"/>
        <v>38</v>
      </c>
      <c r="B62" s="82" t="s">
        <v>276</v>
      </c>
      <c r="C62" s="82"/>
      <c r="D62" s="151">
        <v>32</v>
      </c>
      <c r="E62" s="82" t="s">
        <v>358</v>
      </c>
      <c r="F62" s="82" t="s">
        <v>435</v>
      </c>
      <c r="G62" s="83">
        <v>15</v>
      </c>
      <c r="H62" s="245" t="s">
        <v>77</v>
      </c>
      <c r="I62" s="246">
        <f>VLOOKUP($H62,Leistungswerte!$A$8:$E$54,3,FALSE)</f>
        <v>1</v>
      </c>
      <c r="J62" s="246">
        <f>VLOOKUP($H62,Leistungswerte!$A$8:$E$54,4,FALSE)</f>
        <v>0</v>
      </c>
      <c r="K62" s="246">
        <f>VLOOKUP($H62,Leistungswerte!$A$8:$E$54,5,FALSE)</f>
        <v>0</v>
      </c>
      <c r="L62" s="83">
        <f t="shared" si="1"/>
        <v>582</v>
      </c>
      <c r="M62" s="247">
        <f>VLOOKUP($H62,Leistungswerte!$A$8:$F$54,$P$2,FALSE)</f>
        <v>0</v>
      </c>
      <c r="N62" s="84">
        <f t="shared" si="2"/>
        <v>0</v>
      </c>
      <c r="O62" s="80">
        <f t="shared" si="3"/>
        <v>0</v>
      </c>
      <c r="P62" s="248">
        <f t="shared" ca="1" si="4"/>
        <v>0</v>
      </c>
      <c r="Q62" s="85">
        <f t="shared" ca="1" si="5"/>
        <v>0</v>
      </c>
      <c r="R62" s="305"/>
    </row>
    <row r="63" spans="1:18" ht="24" customHeight="1" x14ac:dyDescent="0.2">
      <c r="A63" s="81"/>
      <c r="B63" s="82"/>
      <c r="C63" s="296" t="s">
        <v>339</v>
      </c>
      <c r="D63" s="82"/>
      <c r="E63" s="82"/>
      <c r="F63" s="82"/>
      <c r="G63" s="83"/>
      <c r="H63" s="245"/>
      <c r="I63" s="246"/>
      <c r="J63" s="246"/>
      <c r="K63" s="246"/>
      <c r="L63" s="83"/>
      <c r="M63" s="297"/>
      <c r="N63" s="84"/>
      <c r="O63" s="80"/>
      <c r="P63" s="298"/>
      <c r="Q63" s="85"/>
      <c r="R63" s="305"/>
    </row>
    <row r="64" spans="1:18" ht="24" customHeight="1" x14ac:dyDescent="0.2">
      <c r="A64" s="81">
        <f>A62+1</f>
        <v>39</v>
      </c>
      <c r="B64" s="82" t="s">
        <v>276</v>
      </c>
      <c r="C64" s="82"/>
      <c r="D64" s="151" t="s">
        <v>340</v>
      </c>
      <c r="E64" s="82" t="s">
        <v>273</v>
      </c>
      <c r="F64" s="82" t="s">
        <v>441</v>
      </c>
      <c r="G64" s="83">
        <v>9.33</v>
      </c>
      <c r="H64" s="245" t="s">
        <v>16</v>
      </c>
      <c r="I64" s="246">
        <f>VLOOKUP($H64,Leistungswerte!$A$8:$E$54,3,FALSE)</f>
        <v>0</v>
      </c>
      <c r="J64" s="246">
        <f>VLOOKUP($H64,Leistungswerte!$A$8:$E$54,4,FALSE)</f>
        <v>0</v>
      </c>
      <c r="K64" s="246">
        <f>VLOOKUP($H64,Leistungswerte!$A$8:$E$54,5,FALSE)</f>
        <v>0</v>
      </c>
      <c r="L64" s="83">
        <f t="shared" si="1"/>
        <v>0</v>
      </c>
      <c r="M64" s="247">
        <f>VLOOKUP($H64,Leistungswerte!$A$8:$F$54,$P$2,FALSE)</f>
        <v>0</v>
      </c>
      <c r="N64" s="84">
        <f t="shared" si="2"/>
        <v>0</v>
      </c>
      <c r="O64" s="80">
        <f t="shared" si="3"/>
        <v>0</v>
      </c>
      <c r="P64" s="248">
        <f t="shared" ca="1" si="4"/>
        <v>0</v>
      </c>
      <c r="Q64" s="85">
        <f t="shared" ca="1" si="5"/>
        <v>0</v>
      </c>
      <c r="R64" s="305"/>
    </row>
    <row r="65" spans="1:18" ht="24" customHeight="1" x14ac:dyDescent="0.2">
      <c r="A65" s="81">
        <f t="shared" si="0"/>
        <v>40</v>
      </c>
      <c r="B65" s="82" t="s">
        <v>276</v>
      </c>
      <c r="C65" s="82"/>
      <c r="D65" s="151" t="s">
        <v>341</v>
      </c>
      <c r="E65" s="82" t="s">
        <v>365</v>
      </c>
      <c r="F65" s="82" t="s">
        <v>441</v>
      </c>
      <c r="G65" s="83">
        <v>120.07</v>
      </c>
      <c r="H65" s="245" t="s">
        <v>75</v>
      </c>
      <c r="I65" s="246">
        <f>VLOOKUP($H65,Leistungswerte!$A$8:$E$54,3,FALSE)</f>
        <v>5</v>
      </c>
      <c r="J65" s="246">
        <f>VLOOKUP($H65,Leistungswerte!$A$8:$E$54,4,FALSE)</f>
        <v>0</v>
      </c>
      <c r="K65" s="246">
        <f>VLOOKUP($H65,Leistungswerte!$A$8:$E$54,5,FALSE)</f>
        <v>0</v>
      </c>
      <c r="L65" s="83">
        <f t="shared" si="1"/>
        <v>23293.579999999998</v>
      </c>
      <c r="M65" s="247">
        <f>VLOOKUP($H65,Leistungswerte!$A$8:$F$54,$P$2,FALSE)</f>
        <v>0</v>
      </c>
      <c r="N65" s="84">
        <f t="shared" si="2"/>
        <v>0</v>
      </c>
      <c r="O65" s="80">
        <f t="shared" si="3"/>
        <v>0</v>
      </c>
      <c r="P65" s="248">
        <f t="shared" ca="1" si="4"/>
        <v>0</v>
      </c>
      <c r="Q65" s="85">
        <f t="shared" ca="1" si="5"/>
        <v>0</v>
      </c>
      <c r="R65" s="305"/>
    </row>
    <row r="66" spans="1:18" ht="24" customHeight="1" x14ac:dyDescent="0.2">
      <c r="A66" s="81">
        <f t="shared" si="0"/>
        <v>41</v>
      </c>
      <c r="B66" s="82" t="s">
        <v>276</v>
      </c>
      <c r="C66" s="82"/>
      <c r="D66" s="151" t="s">
        <v>342</v>
      </c>
      <c r="E66" s="82" t="s">
        <v>311</v>
      </c>
      <c r="F66" s="82" t="s">
        <v>434</v>
      </c>
      <c r="G66" s="83">
        <v>64</v>
      </c>
      <c r="H66" s="245" t="s">
        <v>72</v>
      </c>
      <c r="I66" s="246">
        <f>VLOOKUP($H66,Leistungswerte!$A$8:$E$54,3,FALSE)</f>
        <v>5</v>
      </c>
      <c r="J66" s="246">
        <f>VLOOKUP($H66,Leistungswerte!$A$8:$E$54,4,FALSE)</f>
        <v>0</v>
      </c>
      <c r="K66" s="246">
        <f>VLOOKUP($H66,Leistungswerte!$A$8:$E$54,5,FALSE)</f>
        <v>0</v>
      </c>
      <c r="L66" s="83">
        <f t="shared" si="1"/>
        <v>12416</v>
      </c>
      <c r="M66" s="247">
        <f>VLOOKUP($H66,Leistungswerte!$A$8:$F$54,$P$2,FALSE)</f>
        <v>0</v>
      </c>
      <c r="N66" s="84">
        <f t="shared" si="2"/>
        <v>0</v>
      </c>
      <c r="O66" s="80">
        <f t="shared" si="3"/>
        <v>0</v>
      </c>
      <c r="P66" s="248">
        <f t="shared" ca="1" si="4"/>
        <v>0</v>
      </c>
      <c r="Q66" s="85">
        <f t="shared" ca="1" si="5"/>
        <v>0</v>
      </c>
      <c r="R66" s="305"/>
    </row>
    <row r="67" spans="1:18" ht="24" customHeight="1" x14ac:dyDescent="0.2">
      <c r="A67" s="81">
        <f t="shared" si="0"/>
        <v>42</v>
      </c>
      <c r="B67" s="82" t="s">
        <v>276</v>
      </c>
      <c r="C67" s="82"/>
      <c r="D67" s="151" t="s">
        <v>343</v>
      </c>
      <c r="E67" s="82" t="s">
        <v>279</v>
      </c>
      <c r="F67" s="82" t="s">
        <v>441</v>
      </c>
      <c r="G67" s="83">
        <v>19.93</v>
      </c>
      <c r="H67" s="245" t="s">
        <v>81</v>
      </c>
      <c r="I67" s="246">
        <f>VLOOKUP($H67,Leistungswerte!$A$8:$E$54,3,FALSE)</f>
        <v>0</v>
      </c>
      <c r="J67" s="246">
        <f>VLOOKUP($H67,Leistungswerte!$A$8:$E$54,4,FALSE)</f>
        <v>0</v>
      </c>
      <c r="K67" s="246">
        <f>VLOOKUP($H67,Leistungswerte!$A$8:$E$54,5,FALSE)</f>
        <v>4</v>
      </c>
      <c r="L67" s="83">
        <f t="shared" si="1"/>
        <v>79.72</v>
      </c>
      <c r="M67" s="247">
        <f>VLOOKUP($H67,Leistungswerte!$A$8:$F$54,$P$2,FALSE)</f>
        <v>0</v>
      </c>
      <c r="N67" s="84">
        <f t="shared" si="2"/>
        <v>0</v>
      </c>
      <c r="O67" s="80">
        <f t="shared" si="3"/>
        <v>0</v>
      </c>
      <c r="P67" s="248">
        <f t="shared" ca="1" si="4"/>
        <v>0</v>
      </c>
      <c r="Q67" s="85">
        <f t="shared" ca="1" si="5"/>
        <v>0</v>
      </c>
      <c r="R67" s="305"/>
    </row>
    <row r="68" spans="1:18" ht="24" customHeight="1" x14ac:dyDescent="0.2">
      <c r="A68" s="81">
        <f t="shared" si="0"/>
        <v>43</v>
      </c>
      <c r="B68" s="82" t="s">
        <v>276</v>
      </c>
      <c r="C68" s="82"/>
      <c r="D68" s="151" t="s">
        <v>344</v>
      </c>
      <c r="E68" s="82" t="s">
        <v>366</v>
      </c>
      <c r="F68" s="82" t="s">
        <v>441</v>
      </c>
      <c r="G68" s="83">
        <v>25.25</v>
      </c>
      <c r="H68" s="245" t="s">
        <v>81</v>
      </c>
      <c r="I68" s="246">
        <f>VLOOKUP($H68,Leistungswerte!$A$8:$E$54,3,FALSE)</f>
        <v>0</v>
      </c>
      <c r="J68" s="246">
        <f>VLOOKUP($H68,Leistungswerte!$A$8:$E$54,4,FALSE)</f>
        <v>0</v>
      </c>
      <c r="K68" s="246">
        <f>VLOOKUP($H68,Leistungswerte!$A$8:$E$54,5,FALSE)</f>
        <v>4</v>
      </c>
      <c r="L68" s="83">
        <f t="shared" si="1"/>
        <v>101</v>
      </c>
      <c r="M68" s="247">
        <f>VLOOKUP($H68,Leistungswerte!$A$8:$F$54,$P$2,FALSE)</f>
        <v>0</v>
      </c>
      <c r="N68" s="84">
        <f t="shared" si="2"/>
        <v>0</v>
      </c>
      <c r="O68" s="80">
        <f t="shared" si="3"/>
        <v>0</v>
      </c>
      <c r="P68" s="248">
        <f t="shared" ca="1" si="4"/>
        <v>0</v>
      </c>
      <c r="Q68" s="85">
        <f t="shared" ca="1" si="5"/>
        <v>0</v>
      </c>
      <c r="R68" s="305"/>
    </row>
    <row r="69" spans="1:18" ht="24" customHeight="1" x14ac:dyDescent="0.2">
      <c r="A69" s="81">
        <f t="shared" si="0"/>
        <v>44</v>
      </c>
      <c r="B69" s="82" t="s">
        <v>276</v>
      </c>
      <c r="C69" s="82"/>
      <c r="D69" s="151" t="s">
        <v>345</v>
      </c>
      <c r="E69" s="82" t="s">
        <v>367</v>
      </c>
      <c r="F69" s="82" t="s">
        <v>434</v>
      </c>
      <c r="G69" s="83">
        <v>38.74</v>
      </c>
      <c r="H69" s="245" t="s">
        <v>91</v>
      </c>
      <c r="I69" s="246">
        <f>VLOOKUP($H69,Leistungswerte!$A$8:$E$54,3,FALSE)</f>
        <v>5</v>
      </c>
      <c r="J69" s="246">
        <f>VLOOKUP($H69,Leistungswerte!$A$8:$E$54,4,FALSE)</f>
        <v>0</v>
      </c>
      <c r="K69" s="246">
        <f>VLOOKUP($H69,Leistungswerte!$A$8:$E$54,5,FALSE)</f>
        <v>0</v>
      </c>
      <c r="L69" s="83">
        <f t="shared" si="1"/>
        <v>7515.56</v>
      </c>
      <c r="M69" s="247">
        <f>VLOOKUP($H69,Leistungswerte!$A$8:$F$54,$P$2,FALSE)</f>
        <v>0</v>
      </c>
      <c r="N69" s="84">
        <f t="shared" si="2"/>
        <v>0</v>
      </c>
      <c r="O69" s="80">
        <f t="shared" si="3"/>
        <v>0</v>
      </c>
      <c r="P69" s="248">
        <f t="shared" ca="1" si="4"/>
        <v>0</v>
      </c>
      <c r="Q69" s="85">
        <f t="shared" ca="1" si="5"/>
        <v>0</v>
      </c>
      <c r="R69" s="305"/>
    </row>
    <row r="70" spans="1:18" ht="24" customHeight="1" x14ac:dyDescent="0.2">
      <c r="A70" s="81">
        <f t="shared" si="0"/>
        <v>45</v>
      </c>
      <c r="B70" s="82" t="s">
        <v>276</v>
      </c>
      <c r="C70" s="82"/>
      <c r="D70" s="151" t="s">
        <v>346</v>
      </c>
      <c r="E70" s="82" t="s">
        <v>368</v>
      </c>
      <c r="F70" s="82" t="s">
        <v>434</v>
      </c>
      <c r="G70" s="83">
        <v>63.16</v>
      </c>
      <c r="H70" s="245" t="s">
        <v>80</v>
      </c>
      <c r="I70" s="246">
        <f>VLOOKUP($H70,Leistungswerte!$A$8:$E$54,3,FALSE)</f>
        <v>5</v>
      </c>
      <c r="J70" s="246">
        <f>VLOOKUP($H70,Leistungswerte!$A$8:$E$54,4,FALSE)</f>
        <v>0</v>
      </c>
      <c r="K70" s="246">
        <f>VLOOKUP($H70,Leistungswerte!$A$8:$E$54,5,FALSE)</f>
        <v>0</v>
      </c>
      <c r="L70" s="83">
        <f t="shared" si="1"/>
        <v>12253.039999999999</v>
      </c>
      <c r="M70" s="247">
        <f>VLOOKUP($H70,Leistungswerte!$A$8:$F$54,$P$2,FALSE)</f>
        <v>0</v>
      </c>
      <c r="N70" s="84">
        <f t="shared" si="2"/>
        <v>0</v>
      </c>
      <c r="O70" s="80">
        <f t="shared" si="3"/>
        <v>0</v>
      </c>
      <c r="P70" s="248">
        <f t="shared" ca="1" si="4"/>
        <v>0</v>
      </c>
      <c r="Q70" s="85">
        <f t="shared" ca="1" si="5"/>
        <v>0</v>
      </c>
      <c r="R70" s="305"/>
    </row>
    <row r="71" spans="1:18" ht="24" customHeight="1" x14ac:dyDescent="0.2">
      <c r="A71" s="81">
        <f t="shared" si="0"/>
        <v>46</v>
      </c>
      <c r="B71" s="82" t="s">
        <v>276</v>
      </c>
      <c r="C71" s="82"/>
      <c r="D71" s="151" t="s">
        <v>347</v>
      </c>
      <c r="E71" s="82" t="s">
        <v>283</v>
      </c>
      <c r="F71" s="82" t="s">
        <v>436</v>
      </c>
      <c r="G71" s="83">
        <v>11.33</v>
      </c>
      <c r="H71" s="245" t="s">
        <v>88</v>
      </c>
      <c r="I71" s="246">
        <f>VLOOKUP($H71,Leistungswerte!$A$8:$E$54,3,FALSE)</f>
        <v>5</v>
      </c>
      <c r="J71" s="246">
        <f>VLOOKUP($H71,Leistungswerte!$A$8:$E$54,4,FALSE)</f>
        <v>0</v>
      </c>
      <c r="K71" s="246">
        <f>VLOOKUP($H71,Leistungswerte!$A$8:$E$54,5,FALSE)</f>
        <v>0</v>
      </c>
      <c r="L71" s="83">
        <f t="shared" si="1"/>
        <v>2198.02</v>
      </c>
      <c r="M71" s="247">
        <f>VLOOKUP($H71,Leistungswerte!$A$8:$F$54,$P$2,FALSE)</f>
        <v>0</v>
      </c>
      <c r="N71" s="84">
        <f t="shared" si="2"/>
        <v>0</v>
      </c>
      <c r="O71" s="80">
        <f t="shared" si="3"/>
        <v>0</v>
      </c>
      <c r="P71" s="248">
        <f t="shared" ca="1" si="4"/>
        <v>0</v>
      </c>
      <c r="Q71" s="85">
        <f t="shared" ca="1" si="5"/>
        <v>0</v>
      </c>
      <c r="R71" s="305"/>
    </row>
    <row r="72" spans="1:18" ht="24" customHeight="1" x14ac:dyDescent="0.2">
      <c r="A72" s="81">
        <f t="shared" si="0"/>
        <v>47</v>
      </c>
      <c r="B72" s="82" t="s">
        <v>276</v>
      </c>
      <c r="C72" s="82"/>
      <c r="D72" s="151" t="s">
        <v>348</v>
      </c>
      <c r="E72" s="82" t="s">
        <v>282</v>
      </c>
      <c r="F72" s="82" t="s">
        <v>436</v>
      </c>
      <c r="G72" s="83">
        <v>7.88</v>
      </c>
      <c r="H72" s="245" t="s">
        <v>88</v>
      </c>
      <c r="I72" s="246">
        <f>VLOOKUP($H72,Leistungswerte!$A$8:$E$54,3,FALSE)</f>
        <v>5</v>
      </c>
      <c r="J72" s="246">
        <f>VLOOKUP($H72,Leistungswerte!$A$8:$E$54,4,FALSE)</f>
        <v>0</v>
      </c>
      <c r="K72" s="246">
        <f>VLOOKUP($H72,Leistungswerte!$A$8:$E$54,5,FALSE)</f>
        <v>0</v>
      </c>
      <c r="L72" s="83">
        <f t="shared" si="1"/>
        <v>1528.72</v>
      </c>
      <c r="M72" s="247">
        <f>VLOOKUP($H72,Leistungswerte!$A$8:$F$54,$P$2,FALSE)</f>
        <v>0</v>
      </c>
      <c r="N72" s="84">
        <f t="shared" si="2"/>
        <v>0</v>
      </c>
      <c r="O72" s="80">
        <f t="shared" si="3"/>
        <v>0</v>
      </c>
      <c r="P72" s="248">
        <f t="shared" ca="1" si="4"/>
        <v>0</v>
      </c>
      <c r="Q72" s="85">
        <f t="shared" ca="1" si="5"/>
        <v>0</v>
      </c>
      <c r="R72" s="305"/>
    </row>
    <row r="73" spans="1:18" ht="24" customHeight="1" x14ac:dyDescent="0.2">
      <c r="A73" s="81">
        <f t="shared" si="0"/>
        <v>48</v>
      </c>
      <c r="B73" s="82" t="s">
        <v>276</v>
      </c>
      <c r="C73" s="82"/>
      <c r="D73" s="151" t="s">
        <v>349</v>
      </c>
      <c r="E73" s="82" t="s">
        <v>286</v>
      </c>
      <c r="F73" s="82" t="s">
        <v>436</v>
      </c>
      <c r="G73" s="83">
        <v>5.79</v>
      </c>
      <c r="H73" s="245" t="s">
        <v>79</v>
      </c>
      <c r="I73" s="246">
        <f>VLOOKUP($H73,Leistungswerte!$A$8:$E$54,3,FALSE)</f>
        <v>5</v>
      </c>
      <c r="J73" s="246">
        <f>VLOOKUP($H73,Leistungswerte!$A$8:$E$54,4,FALSE)</f>
        <v>0</v>
      </c>
      <c r="K73" s="246">
        <f>VLOOKUP($H73,Leistungswerte!$A$8:$E$54,5,FALSE)</f>
        <v>0</v>
      </c>
      <c r="L73" s="83">
        <f t="shared" si="1"/>
        <v>1123.26</v>
      </c>
      <c r="M73" s="247">
        <f>VLOOKUP($H73,Leistungswerte!$A$8:$F$54,$P$2,FALSE)</f>
        <v>0</v>
      </c>
      <c r="N73" s="84">
        <f t="shared" si="2"/>
        <v>0</v>
      </c>
      <c r="O73" s="80">
        <f t="shared" si="3"/>
        <v>0</v>
      </c>
      <c r="P73" s="248">
        <f t="shared" ca="1" si="4"/>
        <v>0</v>
      </c>
      <c r="Q73" s="85">
        <f t="shared" ca="1" si="5"/>
        <v>0</v>
      </c>
      <c r="R73" s="305"/>
    </row>
    <row r="74" spans="1:18" ht="24" customHeight="1" x14ac:dyDescent="0.2">
      <c r="A74" s="81">
        <f t="shared" si="0"/>
        <v>49</v>
      </c>
      <c r="B74" s="82" t="s">
        <v>276</v>
      </c>
      <c r="C74" s="82"/>
      <c r="D74" s="151" t="s">
        <v>350</v>
      </c>
      <c r="E74" s="82" t="s">
        <v>369</v>
      </c>
      <c r="F74" s="82" t="s">
        <v>436</v>
      </c>
      <c r="G74" s="83">
        <v>4.1399999999999997</v>
      </c>
      <c r="H74" s="245" t="s">
        <v>147</v>
      </c>
      <c r="I74" s="246">
        <f>VLOOKUP($H74,Leistungswerte!$A$8:$E$54,3,FALSE)</f>
        <v>5</v>
      </c>
      <c r="J74" s="246">
        <f>VLOOKUP($H74,Leistungswerte!$A$8:$E$54,4,FALSE)</f>
        <v>0</v>
      </c>
      <c r="K74" s="246">
        <f>VLOOKUP($H74,Leistungswerte!$A$8:$E$54,5,FALSE)</f>
        <v>0</v>
      </c>
      <c r="L74" s="83">
        <f t="shared" si="1"/>
        <v>803.16</v>
      </c>
      <c r="M74" s="247">
        <f>VLOOKUP($H74,Leistungswerte!$A$8:$F$54,$P$2,FALSE)</f>
        <v>0</v>
      </c>
      <c r="N74" s="84">
        <f t="shared" si="2"/>
        <v>0</v>
      </c>
      <c r="O74" s="80">
        <f t="shared" si="3"/>
        <v>0</v>
      </c>
      <c r="P74" s="248">
        <f t="shared" ca="1" si="4"/>
        <v>0</v>
      </c>
      <c r="Q74" s="85">
        <f t="shared" ca="1" si="5"/>
        <v>0</v>
      </c>
      <c r="R74" s="305"/>
    </row>
    <row r="75" spans="1:18" ht="24" customHeight="1" x14ac:dyDescent="0.2">
      <c r="A75" s="81">
        <f t="shared" si="0"/>
        <v>50</v>
      </c>
      <c r="B75" s="82" t="s">
        <v>276</v>
      </c>
      <c r="C75" s="82"/>
      <c r="D75" s="151" t="s">
        <v>351</v>
      </c>
      <c r="E75" s="82" t="s">
        <v>370</v>
      </c>
      <c r="F75" s="82" t="s">
        <v>436</v>
      </c>
      <c r="G75" s="83">
        <v>19.04</v>
      </c>
      <c r="H75" s="245" t="s">
        <v>88</v>
      </c>
      <c r="I75" s="246">
        <f>VLOOKUP($H75,Leistungswerte!$A$8:$E$54,3,FALSE)</f>
        <v>5</v>
      </c>
      <c r="J75" s="246">
        <f>VLOOKUP($H75,Leistungswerte!$A$8:$E$54,4,FALSE)</f>
        <v>0</v>
      </c>
      <c r="K75" s="246">
        <f>VLOOKUP($H75,Leistungswerte!$A$8:$E$54,5,FALSE)</f>
        <v>0</v>
      </c>
      <c r="L75" s="83">
        <f t="shared" si="1"/>
        <v>3693.7599999999998</v>
      </c>
      <c r="M75" s="247">
        <f>VLOOKUP($H75,Leistungswerte!$A$8:$F$54,$P$2,FALSE)</f>
        <v>0</v>
      </c>
      <c r="N75" s="84">
        <f t="shared" si="2"/>
        <v>0</v>
      </c>
      <c r="O75" s="80">
        <f t="shared" si="3"/>
        <v>0</v>
      </c>
      <c r="P75" s="248">
        <f t="shared" ca="1" si="4"/>
        <v>0</v>
      </c>
      <c r="Q75" s="85">
        <f t="shared" ca="1" si="5"/>
        <v>0</v>
      </c>
      <c r="R75" s="305"/>
    </row>
    <row r="76" spans="1:18" ht="24" customHeight="1" x14ac:dyDescent="0.2">
      <c r="A76" s="81">
        <f t="shared" si="0"/>
        <v>51</v>
      </c>
      <c r="B76" s="82" t="s">
        <v>276</v>
      </c>
      <c r="C76" s="82"/>
      <c r="D76" s="151" t="s">
        <v>352</v>
      </c>
      <c r="E76" s="82" t="s">
        <v>297</v>
      </c>
      <c r="F76" s="82" t="s">
        <v>434</v>
      </c>
      <c r="G76" s="83">
        <v>64.16</v>
      </c>
      <c r="H76" s="245" t="s">
        <v>145</v>
      </c>
      <c r="I76" s="246">
        <f>VLOOKUP($H76,Leistungswerte!$A$8:$E$54,3,FALSE)</f>
        <v>1</v>
      </c>
      <c r="J76" s="246">
        <f>VLOOKUP($H76,Leistungswerte!$A$8:$E$54,4,FALSE)</f>
        <v>0</v>
      </c>
      <c r="K76" s="246">
        <f>VLOOKUP($H76,Leistungswerte!$A$8:$E$54,5,FALSE)</f>
        <v>0</v>
      </c>
      <c r="L76" s="83">
        <f t="shared" si="1"/>
        <v>2489.4079999999999</v>
      </c>
      <c r="M76" s="247">
        <f>VLOOKUP($H76,Leistungswerte!$A$8:$F$54,$P$2,FALSE)</f>
        <v>0</v>
      </c>
      <c r="N76" s="84">
        <f t="shared" si="2"/>
        <v>0</v>
      </c>
      <c r="O76" s="80">
        <f t="shared" si="3"/>
        <v>0</v>
      </c>
      <c r="P76" s="248">
        <f t="shared" ca="1" si="4"/>
        <v>0</v>
      </c>
      <c r="Q76" s="85">
        <f t="shared" ca="1" si="5"/>
        <v>0</v>
      </c>
      <c r="R76" s="305"/>
    </row>
    <row r="77" spans="1:18" ht="24" customHeight="1" x14ac:dyDescent="0.2">
      <c r="A77" s="81">
        <f t="shared" si="0"/>
        <v>52</v>
      </c>
      <c r="B77" s="82" t="s">
        <v>276</v>
      </c>
      <c r="C77" s="82"/>
      <c r="D77" s="151" t="s">
        <v>353</v>
      </c>
      <c r="E77" s="82" t="s">
        <v>371</v>
      </c>
      <c r="F77" s="82" t="s">
        <v>434</v>
      </c>
      <c r="G77" s="83">
        <v>15.35</v>
      </c>
      <c r="H77" s="245" t="s">
        <v>456</v>
      </c>
      <c r="I77" s="246">
        <f>VLOOKUP($H77,Leistungswerte!$A$8:$E$54,3,FALSE)</f>
        <v>2.5</v>
      </c>
      <c r="J77" s="246">
        <f>VLOOKUP($H77,Leistungswerte!$A$8:$E$54,4,FALSE)</f>
        <v>0</v>
      </c>
      <c r="K77" s="246">
        <f>VLOOKUP($H77,Leistungswerte!$A$8:$E$54,5,FALSE)</f>
        <v>0</v>
      </c>
      <c r="L77" s="83">
        <f t="shared" si="1"/>
        <v>1488.95</v>
      </c>
      <c r="M77" s="247">
        <f>VLOOKUP($H77,Leistungswerte!$A$8:$F$54,$P$2,FALSE)</f>
        <v>0</v>
      </c>
      <c r="N77" s="84">
        <f t="shared" si="2"/>
        <v>0</v>
      </c>
      <c r="O77" s="80">
        <f t="shared" si="3"/>
        <v>0</v>
      </c>
      <c r="P77" s="248">
        <f t="shared" ca="1" si="4"/>
        <v>0</v>
      </c>
      <c r="Q77" s="85">
        <f t="shared" ca="1" si="5"/>
        <v>0</v>
      </c>
      <c r="R77" s="305"/>
    </row>
    <row r="78" spans="1:18" ht="24" customHeight="1" x14ac:dyDescent="0.2">
      <c r="A78" s="81">
        <f t="shared" si="0"/>
        <v>53</v>
      </c>
      <c r="B78" s="82" t="s">
        <v>276</v>
      </c>
      <c r="C78" s="82"/>
      <c r="D78" s="151" t="s">
        <v>354</v>
      </c>
      <c r="E78" s="82" t="s">
        <v>447</v>
      </c>
      <c r="F78" s="82" t="s">
        <v>436</v>
      </c>
      <c r="G78" s="83">
        <v>20.56</v>
      </c>
      <c r="H78" s="245" t="s">
        <v>79</v>
      </c>
      <c r="I78" s="246">
        <f>VLOOKUP($H78,Leistungswerte!$A$8:$E$54,3,FALSE)</f>
        <v>5</v>
      </c>
      <c r="J78" s="246">
        <f>VLOOKUP($H78,Leistungswerte!$A$8:$E$54,4,FALSE)</f>
        <v>0</v>
      </c>
      <c r="K78" s="246">
        <f>VLOOKUP($H78,Leistungswerte!$A$8:$E$54,5,FALSE)</f>
        <v>0</v>
      </c>
      <c r="L78" s="83">
        <f t="shared" si="1"/>
        <v>3988.64</v>
      </c>
      <c r="M78" s="247">
        <f>VLOOKUP($H78,Leistungswerte!$A$8:$F$54,$P$2,FALSE)</f>
        <v>0</v>
      </c>
      <c r="N78" s="84">
        <f t="shared" si="2"/>
        <v>0</v>
      </c>
      <c r="O78" s="80">
        <f t="shared" si="3"/>
        <v>0</v>
      </c>
      <c r="P78" s="248">
        <f t="shared" ca="1" si="4"/>
        <v>0</v>
      </c>
      <c r="Q78" s="85">
        <f t="shared" ca="1" si="5"/>
        <v>0</v>
      </c>
      <c r="R78" s="305"/>
    </row>
    <row r="79" spans="1:18" ht="24" customHeight="1" x14ac:dyDescent="0.2">
      <c r="A79" s="81">
        <f t="shared" si="0"/>
        <v>54</v>
      </c>
      <c r="B79" s="82" t="s">
        <v>276</v>
      </c>
      <c r="C79" s="82"/>
      <c r="D79" s="151" t="s">
        <v>355</v>
      </c>
      <c r="E79" s="82" t="s">
        <v>446</v>
      </c>
      <c r="F79" s="82" t="s">
        <v>436</v>
      </c>
      <c r="G79" s="83">
        <v>17.579999999999998</v>
      </c>
      <c r="H79" s="245" t="s">
        <v>79</v>
      </c>
      <c r="I79" s="246">
        <f>VLOOKUP($H79,Leistungswerte!$A$8:$E$54,3,FALSE)</f>
        <v>5</v>
      </c>
      <c r="J79" s="246">
        <f>VLOOKUP($H79,Leistungswerte!$A$8:$E$54,4,FALSE)</f>
        <v>0</v>
      </c>
      <c r="K79" s="246">
        <f>VLOOKUP($H79,Leistungswerte!$A$8:$E$54,5,FALSE)</f>
        <v>0</v>
      </c>
      <c r="L79" s="83">
        <f t="shared" si="1"/>
        <v>3410.5199999999995</v>
      </c>
      <c r="M79" s="247">
        <f>VLOOKUP($H79,Leistungswerte!$A$8:$F$54,$P$2,FALSE)</f>
        <v>0</v>
      </c>
      <c r="N79" s="84">
        <f t="shared" si="2"/>
        <v>0</v>
      </c>
      <c r="O79" s="80">
        <f t="shared" si="3"/>
        <v>0</v>
      </c>
      <c r="P79" s="248">
        <f t="shared" ca="1" si="4"/>
        <v>0</v>
      </c>
      <c r="Q79" s="85">
        <f t="shared" ca="1" si="5"/>
        <v>0</v>
      </c>
      <c r="R79" s="305"/>
    </row>
    <row r="80" spans="1:18" ht="24" customHeight="1" x14ac:dyDescent="0.2">
      <c r="A80" s="81">
        <f t="shared" si="0"/>
        <v>55</v>
      </c>
      <c r="B80" s="82" t="s">
        <v>276</v>
      </c>
      <c r="C80" s="82"/>
      <c r="D80" s="151" t="s">
        <v>356</v>
      </c>
      <c r="E80" s="82" t="s">
        <v>372</v>
      </c>
      <c r="F80" s="82" t="s">
        <v>434</v>
      </c>
      <c r="G80" s="83">
        <v>32.049999999999997</v>
      </c>
      <c r="H80" s="245" t="s">
        <v>144</v>
      </c>
      <c r="I80" s="246">
        <f>VLOOKUP($H80,Leistungswerte!$A$8:$E$54,3,FALSE)</f>
        <v>5</v>
      </c>
      <c r="J80" s="246">
        <f>VLOOKUP($H80,Leistungswerte!$A$8:$E$54,4,FALSE)</f>
        <v>0</v>
      </c>
      <c r="K80" s="246">
        <f>VLOOKUP($H80,Leistungswerte!$A$8:$E$54,5,FALSE)</f>
        <v>0</v>
      </c>
      <c r="L80" s="83">
        <f t="shared" si="1"/>
        <v>6217.7</v>
      </c>
      <c r="M80" s="247">
        <f>VLOOKUP($H80,Leistungswerte!$A$8:$F$54,$P$2,FALSE)</f>
        <v>0</v>
      </c>
      <c r="N80" s="84">
        <f t="shared" si="2"/>
        <v>0</v>
      </c>
      <c r="O80" s="80">
        <f t="shared" si="3"/>
        <v>0</v>
      </c>
      <c r="P80" s="248">
        <f t="shared" ca="1" si="4"/>
        <v>0</v>
      </c>
      <c r="Q80" s="85">
        <f t="shared" ca="1" si="5"/>
        <v>0</v>
      </c>
      <c r="R80" s="305"/>
    </row>
    <row r="81" spans="1:18" ht="24" customHeight="1" x14ac:dyDescent="0.2">
      <c r="A81" s="81"/>
      <c r="B81" s="82"/>
      <c r="C81" s="296" t="s">
        <v>357</v>
      </c>
      <c r="D81" s="82"/>
      <c r="E81" s="82"/>
      <c r="F81" s="82"/>
      <c r="G81" s="83"/>
      <c r="H81" s="245"/>
      <c r="I81" s="246"/>
      <c r="J81" s="246"/>
      <c r="K81" s="246"/>
      <c r="L81" s="83"/>
      <c r="M81" s="297"/>
      <c r="N81" s="84"/>
      <c r="O81" s="80"/>
      <c r="P81" s="298"/>
      <c r="Q81" s="85"/>
      <c r="R81" s="305"/>
    </row>
    <row r="82" spans="1:18" ht="24" customHeight="1" x14ac:dyDescent="0.2">
      <c r="A82" s="81">
        <f>A80+1</f>
        <v>56</v>
      </c>
      <c r="B82" s="82" t="s">
        <v>276</v>
      </c>
      <c r="C82" s="82"/>
      <c r="D82" s="151">
        <v>50</v>
      </c>
      <c r="E82" s="82" t="s">
        <v>373</v>
      </c>
      <c r="F82" s="82" t="s">
        <v>441</v>
      </c>
      <c r="G82" s="83">
        <v>164.3</v>
      </c>
      <c r="H82" s="245" t="s">
        <v>78</v>
      </c>
      <c r="I82" s="246">
        <f>VLOOKUP($H82,Leistungswerte!$A$8:$E$54,3,FALSE)</f>
        <v>5</v>
      </c>
      <c r="J82" s="246">
        <f>VLOOKUP($H82,Leistungswerte!$A$8:$E$54,4,FALSE)</f>
        <v>0</v>
      </c>
      <c r="K82" s="246">
        <f>VLOOKUP($H82,Leistungswerte!$A$8:$E$54,5,FALSE)</f>
        <v>0</v>
      </c>
      <c r="L82" s="83">
        <f t="shared" si="1"/>
        <v>31874.2</v>
      </c>
      <c r="M82" s="247">
        <f>VLOOKUP($H82,Leistungswerte!$A$8:$F$54,$P$2,FALSE)</f>
        <v>0</v>
      </c>
      <c r="N82" s="84">
        <f t="shared" si="2"/>
        <v>0</v>
      </c>
      <c r="O82" s="80">
        <f t="shared" si="3"/>
        <v>0</v>
      </c>
      <c r="P82" s="248">
        <f t="shared" ca="1" si="4"/>
        <v>0</v>
      </c>
      <c r="Q82" s="85">
        <f t="shared" ca="1" si="5"/>
        <v>0</v>
      </c>
      <c r="R82" s="305"/>
    </row>
    <row r="83" spans="1:18" ht="24" customHeight="1" x14ac:dyDescent="0.2">
      <c r="A83" s="81">
        <f t="shared" si="0"/>
        <v>57</v>
      </c>
      <c r="B83" s="82" t="s">
        <v>276</v>
      </c>
      <c r="C83" s="82"/>
      <c r="D83" s="151">
        <v>51</v>
      </c>
      <c r="E83" s="82" t="s">
        <v>374</v>
      </c>
      <c r="F83" s="82"/>
      <c r="G83" s="83">
        <v>6</v>
      </c>
      <c r="H83" s="245" t="s">
        <v>16</v>
      </c>
      <c r="I83" s="246">
        <f>VLOOKUP($H83,Leistungswerte!$A$8:$E$54,3,FALSE)</f>
        <v>0</v>
      </c>
      <c r="J83" s="246">
        <f>VLOOKUP($H83,Leistungswerte!$A$8:$E$54,4,FALSE)</f>
        <v>0</v>
      </c>
      <c r="K83" s="246">
        <f>VLOOKUP($H83,Leistungswerte!$A$8:$E$54,5,FALSE)</f>
        <v>0</v>
      </c>
      <c r="L83" s="83">
        <f t="shared" si="1"/>
        <v>0</v>
      </c>
      <c r="M83" s="247">
        <f>VLOOKUP($H83,Leistungswerte!$A$8:$F$54,$P$2,FALSE)</f>
        <v>0</v>
      </c>
      <c r="N83" s="84">
        <f t="shared" si="2"/>
        <v>0</v>
      </c>
      <c r="O83" s="80">
        <f t="shared" si="3"/>
        <v>0</v>
      </c>
      <c r="P83" s="248">
        <f t="shared" ca="1" si="4"/>
        <v>0</v>
      </c>
      <c r="Q83" s="85">
        <f t="shared" ca="1" si="5"/>
        <v>0</v>
      </c>
      <c r="R83" s="305"/>
    </row>
    <row r="84" spans="1:18" ht="24" customHeight="1" x14ac:dyDescent="0.2">
      <c r="A84" s="81">
        <f t="shared" si="0"/>
        <v>58</v>
      </c>
      <c r="B84" s="82" t="s">
        <v>276</v>
      </c>
      <c r="C84" s="82"/>
      <c r="D84" s="151">
        <v>52</v>
      </c>
      <c r="E84" s="82" t="s">
        <v>375</v>
      </c>
      <c r="F84" s="82" t="s">
        <v>434</v>
      </c>
      <c r="G84" s="83">
        <v>38.659999999999997</v>
      </c>
      <c r="H84" s="245" t="s">
        <v>81</v>
      </c>
      <c r="I84" s="246">
        <f>VLOOKUP($H84,Leistungswerte!$A$8:$E$54,3,FALSE)</f>
        <v>0</v>
      </c>
      <c r="J84" s="246">
        <f>VLOOKUP($H84,Leistungswerte!$A$8:$E$54,4,FALSE)</f>
        <v>0</v>
      </c>
      <c r="K84" s="246">
        <f>VLOOKUP($H84,Leistungswerte!$A$8:$E$54,5,FALSE)</f>
        <v>4</v>
      </c>
      <c r="L84" s="83">
        <f t="shared" si="1"/>
        <v>154.63999999999999</v>
      </c>
      <c r="M84" s="247">
        <f>VLOOKUP($H84,Leistungswerte!$A$8:$F$54,$P$2,FALSE)</f>
        <v>0</v>
      </c>
      <c r="N84" s="84">
        <f t="shared" si="2"/>
        <v>0</v>
      </c>
      <c r="O84" s="80">
        <f t="shared" si="3"/>
        <v>0</v>
      </c>
      <c r="P84" s="248">
        <f t="shared" ca="1" si="4"/>
        <v>0</v>
      </c>
      <c r="Q84" s="85">
        <f t="shared" ca="1" si="5"/>
        <v>0</v>
      </c>
      <c r="R84" s="305"/>
    </row>
    <row r="85" spans="1:18" ht="24" customHeight="1" x14ac:dyDescent="0.2">
      <c r="A85" s="81">
        <f t="shared" si="0"/>
        <v>59</v>
      </c>
      <c r="B85" s="82" t="s">
        <v>276</v>
      </c>
      <c r="C85" s="82"/>
      <c r="D85" s="151">
        <v>53</v>
      </c>
      <c r="E85" s="82" t="s">
        <v>376</v>
      </c>
      <c r="F85" s="82" t="s">
        <v>434</v>
      </c>
      <c r="G85" s="83">
        <v>39.79</v>
      </c>
      <c r="H85" s="245" t="s">
        <v>144</v>
      </c>
      <c r="I85" s="246">
        <f>VLOOKUP($H85,Leistungswerte!$A$8:$E$54,3,FALSE)</f>
        <v>5</v>
      </c>
      <c r="J85" s="246">
        <f>VLOOKUP($H85,Leistungswerte!$A$8:$E$54,4,FALSE)</f>
        <v>0</v>
      </c>
      <c r="K85" s="246">
        <f>VLOOKUP($H85,Leistungswerte!$A$8:$E$54,5,FALSE)</f>
        <v>0</v>
      </c>
      <c r="L85" s="83">
        <f t="shared" si="1"/>
        <v>7719.26</v>
      </c>
      <c r="M85" s="247">
        <f>VLOOKUP($H85,Leistungswerte!$A$8:$F$54,$P$2,FALSE)</f>
        <v>0</v>
      </c>
      <c r="N85" s="84">
        <f t="shared" si="2"/>
        <v>0</v>
      </c>
      <c r="O85" s="80">
        <f t="shared" si="3"/>
        <v>0</v>
      </c>
      <c r="P85" s="248">
        <f t="shared" ca="1" si="4"/>
        <v>0</v>
      </c>
      <c r="Q85" s="85">
        <f t="shared" ca="1" si="5"/>
        <v>0</v>
      </c>
      <c r="R85" s="305"/>
    </row>
    <row r="86" spans="1:18" ht="24" customHeight="1" x14ac:dyDescent="0.2">
      <c r="A86" s="81">
        <f t="shared" si="0"/>
        <v>60</v>
      </c>
      <c r="B86" s="82" t="s">
        <v>276</v>
      </c>
      <c r="C86" s="82"/>
      <c r="D86" s="151">
        <v>54</v>
      </c>
      <c r="E86" s="82" t="s">
        <v>377</v>
      </c>
      <c r="F86" s="82" t="s">
        <v>434</v>
      </c>
      <c r="G86" s="83">
        <v>21.72</v>
      </c>
      <c r="H86" s="245" t="s">
        <v>90</v>
      </c>
      <c r="I86" s="246">
        <f>VLOOKUP($H86,Leistungswerte!$A$8:$E$54,3,FALSE)</f>
        <v>1</v>
      </c>
      <c r="J86" s="246">
        <f>VLOOKUP($H86,Leistungswerte!$A$8:$E$54,4,FALSE)</f>
        <v>0</v>
      </c>
      <c r="K86" s="246">
        <f>VLOOKUP($H86,Leistungswerte!$A$8:$E$54,5,FALSE)</f>
        <v>0</v>
      </c>
      <c r="L86" s="83">
        <f t="shared" si="1"/>
        <v>842.73599999999988</v>
      </c>
      <c r="M86" s="247">
        <f>VLOOKUP($H86,Leistungswerte!$A$8:$F$54,$P$2,FALSE)</f>
        <v>0</v>
      </c>
      <c r="N86" s="84">
        <f t="shared" si="2"/>
        <v>0</v>
      </c>
      <c r="O86" s="80">
        <f t="shared" si="3"/>
        <v>0</v>
      </c>
      <c r="P86" s="248">
        <f t="shared" ca="1" si="4"/>
        <v>0</v>
      </c>
      <c r="Q86" s="85">
        <f t="shared" ca="1" si="5"/>
        <v>0</v>
      </c>
      <c r="R86" s="305"/>
    </row>
    <row r="87" spans="1:18" ht="24" customHeight="1" x14ac:dyDescent="0.2">
      <c r="A87" s="81">
        <f t="shared" si="0"/>
        <v>61</v>
      </c>
      <c r="B87" s="82" t="s">
        <v>276</v>
      </c>
      <c r="C87" s="82"/>
      <c r="D87" s="151">
        <v>55</v>
      </c>
      <c r="E87" s="82" t="s">
        <v>268</v>
      </c>
      <c r="F87" s="82" t="s">
        <v>441</v>
      </c>
      <c r="G87" s="83">
        <v>162.57</v>
      </c>
      <c r="H87" s="245" t="s">
        <v>75</v>
      </c>
      <c r="I87" s="246">
        <f>VLOOKUP($H87,Leistungswerte!$A$8:$E$54,3,FALSE)</f>
        <v>5</v>
      </c>
      <c r="J87" s="246">
        <f>VLOOKUP($H87,Leistungswerte!$A$8:$E$54,4,FALSE)</f>
        <v>0</v>
      </c>
      <c r="K87" s="246">
        <f>VLOOKUP($H87,Leistungswerte!$A$8:$E$54,5,FALSE)</f>
        <v>0</v>
      </c>
      <c r="L87" s="83">
        <f t="shared" ref="L87:L92" si="6">($G$5/$G$6*I87+J87*12+K87)*G87</f>
        <v>31538.579999999998</v>
      </c>
      <c r="M87" s="247">
        <f>VLOOKUP($H87,Leistungswerte!$A$8:$F$54,$P$2,FALSE)</f>
        <v>0</v>
      </c>
      <c r="N87" s="84">
        <f t="shared" ref="N87:N92" si="7">IF(M87&lt;&gt;0,G87/M87/24,0)</f>
        <v>0</v>
      </c>
      <c r="O87" s="80">
        <f t="shared" ref="O87:O92" si="8">IF(M87&lt;&gt;0,L87/M87,0)</f>
        <v>0</v>
      </c>
      <c r="P87" s="248">
        <f t="shared" ref="P87:P92" ca="1" si="9">SVS_UR</f>
        <v>0</v>
      </c>
      <c r="Q87" s="85">
        <f t="shared" ref="Q87:Q92" ca="1" si="10">O87*P87</f>
        <v>0</v>
      </c>
      <c r="R87" s="305"/>
    </row>
    <row r="88" spans="1:18" ht="24" customHeight="1" x14ac:dyDescent="0.2">
      <c r="A88" s="81">
        <f t="shared" ref="A88:A92" si="11">A87+1</f>
        <v>62</v>
      </c>
      <c r="B88" s="82" t="s">
        <v>276</v>
      </c>
      <c r="C88" s="82"/>
      <c r="D88" s="151">
        <v>56</v>
      </c>
      <c r="E88" s="82" t="s">
        <v>378</v>
      </c>
      <c r="F88" s="82" t="s">
        <v>435</v>
      </c>
      <c r="G88" s="83">
        <v>86.44</v>
      </c>
      <c r="H88" s="245" t="s">
        <v>72</v>
      </c>
      <c r="I88" s="246">
        <f>VLOOKUP($H88,Leistungswerte!$A$8:$E$54,3,FALSE)</f>
        <v>5</v>
      </c>
      <c r="J88" s="246">
        <f>VLOOKUP($H88,Leistungswerte!$A$8:$E$54,4,FALSE)</f>
        <v>0</v>
      </c>
      <c r="K88" s="246">
        <f>VLOOKUP($H88,Leistungswerte!$A$8:$E$54,5,FALSE)</f>
        <v>0</v>
      </c>
      <c r="L88" s="83">
        <f t="shared" si="6"/>
        <v>16769.36</v>
      </c>
      <c r="M88" s="247">
        <f>VLOOKUP($H88,Leistungswerte!$A$8:$F$54,$P$2,FALSE)</f>
        <v>0</v>
      </c>
      <c r="N88" s="84">
        <f t="shared" si="7"/>
        <v>0</v>
      </c>
      <c r="O88" s="80">
        <f t="shared" si="8"/>
        <v>0</v>
      </c>
      <c r="P88" s="248">
        <f t="shared" ca="1" si="9"/>
        <v>0</v>
      </c>
      <c r="Q88" s="85">
        <f t="shared" ca="1" si="10"/>
        <v>0</v>
      </c>
      <c r="R88" s="305"/>
    </row>
    <row r="89" spans="1:18" ht="24" customHeight="1" x14ac:dyDescent="0.2">
      <c r="A89" s="81">
        <f t="shared" si="11"/>
        <v>63</v>
      </c>
      <c r="B89" s="82" t="s">
        <v>276</v>
      </c>
      <c r="C89" s="82"/>
      <c r="D89" s="151">
        <v>57</v>
      </c>
      <c r="E89" s="82" t="s">
        <v>299</v>
      </c>
      <c r="F89" s="82" t="s">
        <v>434</v>
      </c>
      <c r="G89" s="83">
        <v>65.959999999999994</v>
      </c>
      <c r="H89" s="245" t="s">
        <v>91</v>
      </c>
      <c r="I89" s="246">
        <f>VLOOKUP($H89,Leistungswerte!$A$8:$E$54,3,FALSE)</f>
        <v>5</v>
      </c>
      <c r="J89" s="246">
        <f>VLOOKUP($H89,Leistungswerte!$A$8:$E$54,4,FALSE)</f>
        <v>0</v>
      </c>
      <c r="K89" s="246">
        <f>VLOOKUP($H89,Leistungswerte!$A$8:$E$54,5,FALSE)</f>
        <v>0</v>
      </c>
      <c r="L89" s="83">
        <f t="shared" si="6"/>
        <v>12796.239999999998</v>
      </c>
      <c r="M89" s="247">
        <f>VLOOKUP($H89,Leistungswerte!$A$8:$F$54,$P$2,FALSE)</f>
        <v>0</v>
      </c>
      <c r="N89" s="84">
        <f t="shared" si="7"/>
        <v>0</v>
      </c>
      <c r="O89" s="80">
        <f t="shared" si="8"/>
        <v>0</v>
      </c>
      <c r="P89" s="248">
        <f t="shared" ca="1" si="9"/>
        <v>0</v>
      </c>
      <c r="Q89" s="85">
        <f t="shared" ca="1" si="10"/>
        <v>0</v>
      </c>
      <c r="R89" s="305"/>
    </row>
    <row r="90" spans="1:18" ht="24" customHeight="1" x14ac:dyDescent="0.2">
      <c r="A90" s="81">
        <f t="shared" si="11"/>
        <v>64</v>
      </c>
      <c r="B90" s="82" t="s">
        <v>276</v>
      </c>
      <c r="C90" s="82"/>
      <c r="D90" s="151">
        <v>58</v>
      </c>
      <c r="E90" s="82" t="s">
        <v>299</v>
      </c>
      <c r="F90" s="82" t="s">
        <v>434</v>
      </c>
      <c r="G90" s="83">
        <v>66.319999999999993</v>
      </c>
      <c r="H90" s="245" t="s">
        <v>91</v>
      </c>
      <c r="I90" s="246">
        <f>VLOOKUP($H90,Leistungswerte!$A$8:$E$54,3,FALSE)</f>
        <v>5</v>
      </c>
      <c r="J90" s="246">
        <f>VLOOKUP($H90,Leistungswerte!$A$8:$E$54,4,FALSE)</f>
        <v>0</v>
      </c>
      <c r="K90" s="246">
        <f>VLOOKUP($H90,Leistungswerte!$A$8:$E$54,5,FALSE)</f>
        <v>0</v>
      </c>
      <c r="L90" s="83">
        <f t="shared" si="6"/>
        <v>12866.079999999998</v>
      </c>
      <c r="M90" s="247">
        <f>VLOOKUP($H90,Leistungswerte!$A$8:$F$54,$P$2,FALSE)</f>
        <v>0</v>
      </c>
      <c r="N90" s="84">
        <f t="shared" si="7"/>
        <v>0</v>
      </c>
      <c r="O90" s="80">
        <f t="shared" si="8"/>
        <v>0</v>
      </c>
      <c r="P90" s="248">
        <f t="shared" ca="1" si="9"/>
        <v>0</v>
      </c>
      <c r="Q90" s="85">
        <f t="shared" ca="1" si="10"/>
        <v>0</v>
      </c>
      <c r="R90" s="305"/>
    </row>
    <row r="91" spans="1:18" ht="24" customHeight="1" x14ac:dyDescent="0.2">
      <c r="A91" s="81">
        <f t="shared" si="11"/>
        <v>65</v>
      </c>
      <c r="B91" s="82" t="s">
        <v>276</v>
      </c>
      <c r="C91" s="82"/>
      <c r="D91" s="151">
        <v>59</v>
      </c>
      <c r="E91" s="82" t="s">
        <v>299</v>
      </c>
      <c r="F91" s="82" t="s">
        <v>434</v>
      </c>
      <c r="G91" s="83">
        <v>66.459999999999994</v>
      </c>
      <c r="H91" s="245" t="s">
        <v>91</v>
      </c>
      <c r="I91" s="246">
        <f>VLOOKUP($H91,Leistungswerte!$A$8:$E$54,3,FALSE)</f>
        <v>5</v>
      </c>
      <c r="J91" s="246">
        <f>VLOOKUP($H91,Leistungswerte!$A$8:$E$54,4,FALSE)</f>
        <v>0</v>
      </c>
      <c r="K91" s="246">
        <f>VLOOKUP($H91,Leistungswerte!$A$8:$E$54,5,FALSE)</f>
        <v>0</v>
      </c>
      <c r="L91" s="83">
        <f t="shared" si="6"/>
        <v>12893.239999999998</v>
      </c>
      <c r="M91" s="247">
        <f>VLOOKUP($H91,Leistungswerte!$A$8:$F$54,$P$2,FALSE)</f>
        <v>0</v>
      </c>
      <c r="N91" s="84">
        <f t="shared" si="7"/>
        <v>0</v>
      </c>
      <c r="O91" s="80">
        <f t="shared" si="8"/>
        <v>0</v>
      </c>
      <c r="P91" s="248">
        <f t="shared" ca="1" si="9"/>
        <v>0</v>
      </c>
      <c r="Q91" s="85">
        <f t="shared" ca="1" si="10"/>
        <v>0</v>
      </c>
      <c r="R91" s="305"/>
    </row>
    <row r="92" spans="1:18" ht="24" customHeight="1" x14ac:dyDescent="0.2">
      <c r="A92" s="81">
        <f t="shared" si="11"/>
        <v>66</v>
      </c>
      <c r="B92" s="82" t="s">
        <v>276</v>
      </c>
      <c r="C92" s="82"/>
      <c r="D92" s="151">
        <v>60</v>
      </c>
      <c r="E92" s="82" t="s">
        <v>299</v>
      </c>
      <c r="F92" s="82" t="s">
        <v>434</v>
      </c>
      <c r="G92" s="83">
        <v>66.56</v>
      </c>
      <c r="H92" s="245" t="s">
        <v>91</v>
      </c>
      <c r="I92" s="246">
        <f>VLOOKUP($H92,Leistungswerte!$A$8:$E$54,3,FALSE)</f>
        <v>5</v>
      </c>
      <c r="J92" s="246">
        <f>VLOOKUP($H92,Leistungswerte!$A$8:$E$54,4,FALSE)</f>
        <v>0</v>
      </c>
      <c r="K92" s="246">
        <f>VLOOKUP($H92,Leistungswerte!$A$8:$E$54,5,FALSE)</f>
        <v>0</v>
      </c>
      <c r="L92" s="83">
        <f t="shared" si="6"/>
        <v>12912.640000000001</v>
      </c>
      <c r="M92" s="247">
        <f>VLOOKUP($H92,Leistungswerte!$A$8:$F$54,$P$2,FALSE)</f>
        <v>0</v>
      </c>
      <c r="N92" s="84">
        <f t="shared" si="7"/>
        <v>0</v>
      </c>
      <c r="O92" s="80">
        <f t="shared" si="8"/>
        <v>0</v>
      </c>
      <c r="P92" s="248">
        <f t="shared" ca="1" si="9"/>
        <v>0</v>
      </c>
      <c r="Q92" s="85">
        <f t="shared" ca="1" si="10"/>
        <v>0</v>
      </c>
      <c r="R92" s="305"/>
    </row>
    <row r="93" spans="1:18" ht="3.75" customHeight="1" thickBot="1" x14ac:dyDescent="0.25">
      <c r="A93" s="86"/>
      <c r="B93" s="87"/>
      <c r="C93" s="87"/>
      <c r="D93" s="87"/>
      <c r="E93" s="87"/>
      <c r="F93" s="87"/>
      <c r="G93" s="88"/>
      <c r="H93" s="89"/>
      <c r="I93" s="90"/>
      <c r="J93" s="90"/>
      <c r="K93" s="90"/>
      <c r="L93" s="88"/>
      <c r="M93" s="91"/>
      <c r="N93" s="87"/>
      <c r="O93" s="92"/>
      <c r="P93" s="93"/>
      <c r="Q93" s="94"/>
    </row>
    <row r="94" spans="1:18" s="46" customFormat="1" ht="25.5" customHeight="1" thickBot="1" x14ac:dyDescent="0.25">
      <c r="A94" s="40" t="s">
        <v>47</v>
      </c>
      <c r="B94" s="95"/>
      <c r="C94" s="95"/>
      <c r="D94" s="95"/>
      <c r="E94" s="95"/>
      <c r="F94" s="96"/>
      <c r="G94" s="97">
        <f>SUBTOTAL(9,G23:G93)</f>
        <v>2278.92</v>
      </c>
      <c r="H94" s="98"/>
      <c r="I94" s="99"/>
      <c r="J94" s="99"/>
      <c r="K94" s="99"/>
      <c r="L94" s="97">
        <f>SUBTOTAL(9,L23:L93)</f>
        <v>380913.83400000003</v>
      </c>
      <c r="M94" s="100" t="e">
        <f>L94/O94</f>
        <v>#DIV/0!</v>
      </c>
      <c r="N94" s="95"/>
      <c r="O94" s="101">
        <f>SUBTOTAL(9,O23:O93)</f>
        <v>0</v>
      </c>
      <c r="P94" s="102"/>
      <c r="Q94" s="220">
        <f ca="1">SUBTOTAL(9,Q23:Q93)</f>
        <v>0</v>
      </c>
      <c r="R94" s="1"/>
    </row>
    <row r="96" spans="1:18" ht="13.5" thickBot="1" x14ac:dyDescent="0.25"/>
    <row r="97" spans="1:18" s="58" customFormat="1" x14ac:dyDescent="0.2">
      <c r="A97" s="50" t="s">
        <v>0</v>
      </c>
      <c r="B97" s="51" t="s">
        <v>40</v>
      </c>
      <c r="C97" s="51"/>
      <c r="D97" s="51" t="s">
        <v>41</v>
      </c>
      <c r="E97" s="52" t="s">
        <v>42</v>
      </c>
      <c r="F97" s="52" t="s">
        <v>24</v>
      </c>
      <c r="G97" s="53" t="s">
        <v>25</v>
      </c>
      <c r="H97" s="52" t="s">
        <v>1</v>
      </c>
      <c r="I97" s="396" t="s">
        <v>26</v>
      </c>
      <c r="J97" s="396"/>
      <c r="K97" s="396"/>
      <c r="L97" s="53" t="s">
        <v>33</v>
      </c>
      <c r="M97" s="54" t="s">
        <v>2</v>
      </c>
      <c r="N97" s="52" t="s">
        <v>15</v>
      </c>
      <c r="O97" s="55" t="s">
        <v>30</v>
      </c>
      <c r="P97" s="56" t="s">
        <v>13</v>
      </c>
      <c r="Q97" s="57" t="s">
        <v>31</v>
      </c>
      <c r="R97" s="1"/>
    </row>
    <row r="98" spans="1:18" s="58" customFormat="1" ht="25.5" customHeight="1" thickBot="1" x14ac:dyDescent="0.25">
      <c r="A98" s="59"/>
      <c r="B98" s="60"/>
      <c r="C98" s="60"/>
      <c r="D98" s="60"/>
      <c r="E98" s="61" t="s">
        <v>43</v>
      </c>
      <c r="F98" s="61"/>
      <c r="G98" s="62" t="s">
        <v>32</v>
      </c>
      <c r="H98" s="61"/>
      <c r="I98" s="63" t="s">
        <v>27</v>
      </c>
      <c r="J98" s="63" t="s">
        <v>28</v>
      </c>
      <c r="K98" s="63" t="s">
        <v>29</v>
      </c>
      <c r="L98" s="62" t="s">
        <v>34</v>
      </c>
      <c r="M98" s="64" t="s">
        <v>35</v>
      </c>
      <c r="N98" s="61" t="s">
        <v>36</v>
      </c>
      <c r="O98" s="65" t="s">
        <v>37</v>
      </c>
      <c r="P98" s="66" t="s">
        <v>38</v>
      </c>
      <c r="Q98" s="67" t="s">
        <v>39</v>
      </c>
      <c r="R98" s="1"/>
    </row>
    <row r="99" spans="1:18" ht="3.75" customHeight="1" x14ac:dyDescent="0.2">
      <c r="A99" s="68" t="s">
        <v>21</v>
      </c>
      <c r="B99" s="69" t="s">
        <v>21</v>
      </c>
      <c r="C99" s="69"/>
      <c r="D99" s="69" t="s">
        <v>21</v>
      </c>
      <c r="E99" s="69" t="s">
        <v>21</v>
      </c>
      <c r="F99" s="69" t="s">
        <v>21</v>
      </c>
      <c r="G99" s="70" t="s">
        <v>21</v>
      </c>
      <c r="H99" s="71" t="s">
        <v>21</v>
      </c>
      <c r="I99" s="72" t="s">
        <v>21</v>
      </c>
      <c r="J99" s="72" t="s">
        <v>21</v>
      </c>
      <c r="K99" s="72" t="s">
        <v>21</v>
      </c>
      <c r="L99" s="70" t="s">
        <v>21</v>
      </c>
      <c r="M99" s="73" t="s">
        <v>21</v>
      </c>
      <c r="N99" s="74" t="s">
        <v>21</v>
      </c>
      <c r="O99" s="75" t="s">
        <v>21</v>
      </c>
      <c r="P99" s="76" t="s">
        <v>21</v>
      </c>
      <c r="Q99" s="77" t="s">
        <v>21</v>
      </c>
    </row>
    <row r="100" spans="1:18" ht="24" customHeight="1" x14ac:dyDescent="0.2">
      <c r="A100" s="81">
        <f>A92+1</f>
        <v>67</v>
      </c>
      <c r="B100" s="82"/>
      <c r="C100" s="82"/>
      <c r="D100" s="82"/>
      <c r="E100" s="82" t="s">
        <v>156</v>
      </c>
      <c r="F100" s="82"/>
      <c r="G100" s="83">
        <f>IF($O$5="JA",SUM(G23:G93),0)</f>
        <v>2278.92</v>
      </c>
      <c r="H100" s="78" t="s">
        <v>82</v>
      </c>
      <c r="I100" s="79">
        <f>VLOOKUP($H100,Leistungswerte!$A$8:$E$54,3,FALSE)</f>
        <v>0</v>
      </c>
      <c r="J100" s="79">
        <f>VLOOKUP($H100,Leistungswerte!$A$8:$E$54,4,FALSE)</f>
        <v>0</v>
      </c>
      <c r="K100" s="79">
        <f>VLOOKUP($H100,Leistungswerte!$A$8:$E$54,5,FALSE)</f>
        <v>1</v>
      </c>
      <c r="L100" s="83">
        <f>($G$5/$G$6*I100+J100*12+K100)*G100</f>
        <v>2278.92</v>
      </c>
      <c r="M100" s="163">
        <f>VLOOKUP($H100,Leistungswerte!$A$8:$F$54,$P$2,FALSE)</f>
        <v>0</v>
      </c>
      <c r="N100" s="84">
        <f>IF(M100&lt;&gt;0,G100/M100/24,0)</f>
        <v>0</v>
      </c>
      <c r="O100" s="80">
        <f>IF(M100&lt;&gt;0,L100/M100,0)</f>
        <v>0</v>
      </c>
      <c r="P100" s="162">
        <f ca="1">SVS_GR</f>
        <v>0</v>
      </c>
      <c r="Q100" s="85">
        <f ca="1">O100*P100</f>
        <v>0</v>
      </c>
    </row>
    <row r="101" spans="1:18" ht="3.75" customHeight="1" thickBot="1" x14ac:dyDescent="0.25">
      <c r="A101" s="103"/>
      <c r="B101" s="104"/>
      <c r="C101" s="104"/>
      <c r="D101" s="104"/>
      <c r="E101" s="104"/>
      <c r="F101" s="104"/>
      <c r="G101" s="105"/>
      <c r="H101" s="106"/>
      <c r="I101" s="107"/>
      <c r="J101" s="107"/>
      <c r="K101" s="107"/>
      <c r="L101" s="105"/>
      <c r="M101" s="108"/>
      <c r="N101" s="104"/>
      <c r="O101" s="109"/>
      <c r="P101" s="110"/>
      <c r="Q101" s="111"/>
    </row>
    <row r="102" spans="1:18" s="46" customFormat="1" ht="25.5" customHeight="1" thickBot="1" x14ac:dyDescent="0.25">
      <c r="A102" s="40" t="s">
        <v>58</v>
      </c>
      <c r="B102" s="95"/>
      <c r="C102" s="95"/>
      <c r="D102" s="95"/>
      <c r="E102" s="95"/>
      <c r="F102" s="96"/>
      <c r="G102" s="97">
        <f>SUM(G100:G101)</f>
        <v>2278.92</v>
      </c>
      <c r="H102" s="98"/>
      <c r="I102" s="99"/>
      <c r="J102" s="99"/>
      <c r="K102" s="99"/>
      <c r="L102" s="97">
        <f>SUM(L100:L101)</f>
        <v>2278.92</v>
      </c>
      <c r="M102" s="100" t="e">
        <f>L102/O102</f>
        <v>#DIV/0!</v>
      </c>
      <c r="N102" s="95"/>
      <c r="O102" s="101">
        <f>SUM(O100:O101)</f>
        <v>0</v>
      </c>
      <c r="P102" s="102"/>
      <c r="Q102" s="220">
        <f ca="1">SUM(Q100:Q101)</f>
        <v>0</v>
      </c>
      <c r="R102" s="1"/>
    </row>
    <row r="104" spans="1:18" ht="13.5" thickBot="1" x14ac:dyDescent="0.25"/>
    <row r="105" spans="1:18" ht="18" customHeight="1" thickBot="1" x14ac:dyDescent="0.25">
      <c r="E105" s="397" t="s">
        <v>155</v>
      </c>
      <c r="F105" s="398"/>
      <c r="G105" s="398"/>
      <c r="H105" s="398"/>
      <c r="I105" s="398"/>
      <c r="J105" s="398"/>
      <c r="K105" s="398"/>
      <c r="L105" s="398"/>
      <c r="M105" s="398"/>
      <c r="N105" s="398"/>
      <c r="O105" s="399"/>
    </row>
    <row r="106" spans="1:18" ht="18" customHeight="1" x14ac:dyDescent="0.2">
      <c r="E106" s="277" t="s">
        <v>225</v>
      </c>
      <c r="F106" s="400" t="s">
        <v>319</v>
      </c>
      <c r="G106" s="400"/>
      <c r="H106" s="400"/>
      <c r="I106" s="400"/>
      <c r="J106" s="400"/>
      <c r="K106" s="400"/>
      <c r="L106" s="400"/>
      <c r="M106" s="400"/>
      <c r="N106" s="400"/>
      <c r="O106" s="401"/>
    </row>
    <row r="107" spans="1:18" ht="18" customHeight="1" x14ac:dyDescent="0.2">
      <c r="E107" s="275" t="s">
        <v>226</v>
      </c>
      <c r="F107" s="388" t="s">
        <v>477</v>
      </c>
      <c r="G107" s="388"/>
      <c r="H107" s="388"/>
      <c r="I107" s="388"/>
      <c r="J107" s="388"/>
      <c r="K107" s="388"/>
      <c r="L107" s="388"/>
      <c r="M107" s="388"/>
      <c r="N107" s="388"/>
      <c r="O107" s="389"/>
    </row>
    <row r="108" spans="1:18" ht="18" customHeight="1" x14ac:dyDescent="0.2">
      <c r="E108" s="275" t="s">
        <v>227</v>
      </c>
      <c r="F108" s="388" t="s">
        <v>478</v>
      </c>
      <c r="G108" s="388"/>
      <c r="H108" s="388"/>
      <c r="I108" s="388"/>
      <c r="J108" s="388"/>
      <c r="K108" s="388"/>
      <c r="L108" s="388"/>
      <c r="M108" s="388"/>
      <c r="N108" s="388"/>
      <c r="O108" s="389"/>
    </row>
    <row r="109" spans="1:18" ht="18" customHeight="1" x14ac:dyDescent="0.2">
      <c r="E109" s="275" t="s">
        <v>228</v>
      </c>
      <c r="F109" s="388" t="s">
        <v>479</v>
      </c>
      <c r="G109" s="388"/>
      <c r="H109" s="388"/>
      <c r="I109" s="388"/>
      <c r="J109" s="388"/>
      <c r="K109" s="388"/>
      <c r="L109" s="388"/>
      <c r="M109" s="388"/>
      <c r="N109" s="388"/>
      <c r="O109" s="389"/>
    </row>
    <row r="110" spans="1:18" ht="18" customHeight="1" x14ac:dyDescent="0.2">
      <c r="E110" s="275" t="s">
        <v>229</v>
      </c>
      <c r="F110" s="388" t="s">
        <v>480</v>
      </c>
      <c r="G110" s="388"/>
      <c r="H110" s="388"/>
      <c r="I110" s="388"/>
      <c r="J110" s="388"/>
      <c r="K110" s="388"/>
      <c r="L110" s="388"/>
      <c r="M110" s="388"/>
      <c r="N110" s="388"/>
      <c r="O110" s="389"/>
    </row>
    <row r="111" spans="1:18" ht="18" customHeight="1" x14ac:dyDescent="0.2">
      <c r="E111" s="275" t="s">
        <v>230</v>
      </c>
      <c r="F111" s="388" t="s">
        <v>476</v>
      </c>
      <c r="G111" s="388"/>
      <c r="H111" s="388"/>
      <c r="I111" s="388"/>
      <c r="J111" s="388"/>
      <c r="K111" s="388"/>
      <c r="L111" s="388"/>
      <c r="M111" s="388"/>
      <c r="N111" s="388"/>
      <c r="O111" s="389"/>
    </row>
    <row r="112" spans="1:18" ht="18" customHeight="1" thickBot="1" x14ac:dyDescent="0.25">
      <c r="E112" s="276" t="s">
        <v>231</v>
      </c>
      <c r="F112" s="402" t="s">
        <v>481</v>
      </c>
      <c r="G112" s="402"/>
      <c r="H112" s="402"/>
      <c r="I112" s="402"/>
      <c r="J112" s="402"/>
      <c r="K112" s="402"/>
      <c r="L112" s="402"/>
      <c r="M112" s="402"/>
      <c r="N112" s="402"/>
      <c r="O112" s="403"/>
    </row>
  </sheetData>
  <sheetProtection algorithmName="SHA-512" hashValue="npKFglo9E+PPk+PhgQO/4acL4zj+4TkgQ3KQuPpzdrGsVNtdTj7KPe0605jXhQrUB27XefoWCLdW8gx38wi/8A==" saltValue="EqcM3Ezh0FTETtwpLDdwqQ==" spinCount="100000" sheet="1" autoFilter="0"/>
  <autoFilter ref="A21:Q92" xr:uid="{00000000-0009-0000-0000-000008000000}"/>
  <mergeCells count="12">
    <mergeCell ref="F112:O112"/>
    <mergeCell ref="F108:O108"/>
    <mergeCell ref="F109:O109"/>
    <mergeCell ref="F110:O110"/>
    <mergeCell ref="F111:O111"/>
    <mergeCell ref="F107:O107"/>
    <mergeCell ref="E18:G18"/>
    <mergeCell ref="L18:O18"/>
    <mergeCell ref="I20:K20"/>
    <mergeCell ref="I97:K97"/>
    <mergeCell ref="E105:O105"/>
    <mergeCell ref="F106:O106"/>
  </mergeCells>
  <conditionalFormatting sqref="I23:K92">
    <cfRule type="cellIs" dxfId="21" priority="1" stopIfTrue="1" operator="equal">
      <formula>0</formula>
    </cfRule>
  </conditionalFormatting>
  <conditionalFormatting sqref="O7:O16 I100:K100">
    <cfRule type="cellIs" dxfId="20" priority="6" stopIfTrue="1" operator="equal">
      <formula>0</formula>
    </cfRule>
  </conditionalFormatting>
  <hyperlinks>
    <hyperlink ref="E18:G18" location="Angebotsübersicht!A1" display="Zur Angebotsübersicht" xr:uid="{00000000-0004-0000-0800-000000000000}"/>
    <hyperlink ref="L18:O18" location="Leistungswerte!A1" display="Zu den Leistungswerten" xr:uid="{00000000-0004-0000-0800-000001000000}"/>
  </hyperlinks>
  <printOptions horizontalCentered="1"/>
  <pageMargins left="0.55118110236220474" right="0.35433070866141736" top="0.31496062992125984" bottom="0.51181102362204722" header="0.19685039370078741" footer="0.31496062992125984"/>
  <pageSetup paperSize="9" scale="67" fitToHeight="0" orientation="landscape" r:id="rId1"/>
  <headerFooter alignWithMargins="0">
    <oddFooter>&amp;L&amp;8Ausschreibung Unterhaltsreinigung
&amp;A&amp;R&amp;8© Lean Consulting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21</vt:i4>
      </vt:variant>
      <vt:variant>
        <vt:lpstr>Benannte Bereiche</vt:lpstr>
      </vt:variant>
      <vt:variant>
        <vt:i4>29</vt:i4>
      </vt:variant>
    </vt:vector>
  </HeadingPairs>
  <TitlesOfParts>
    <vt:vector size="50" baseType="lpstr">
      <vt:lpstr>Angebotsübersicht</vt:lpstr>
      <vt:lpstr>Zusatzleistungen</vt:lpstr>
      <vt:lpstr>SVS Unterhaltsreinigung</vt:lpstr>
      <vt:lpstr>SVS Grundreinigung</vt:lpstr>
      <vt:lpstr>Reinigungstage</vt:lpstr>
      <vt:lpstr>Leistungswerte</vt:lpstr>
      <vt:lpstr>Objekt (11)</vt:lpstr>
      <vt:lpstr>Objekt (12)</vt:lpstr>
      <vt:lpstr>Objekt (13)</vt:lpstr>
      <vt:lpstr>Objekt (14)</vt:lpstr>
      <vt:lpstr>Objekt (15)</vt:lpstr>
      <vt:lpstr>Objekt (16)</vt:lpstr>
      <vt:lpstr>Objekt (17)</vt:lpstr>
      <vt:lpstr>Objekt (18)</vt:lpstr>
      <vt:lpstr>Objekt (19)</vt:lpstr>
      <vt:lpstr>Objekt (20)</vt:lpstr>
      <vt:lpstr>Objekt (21)</vt:lpstr>
      <vt:lpstr>Objekt (22)</vt:lpstr>
      <vt:lpstr>Objekt (23)</vt:lpstr>
      <vt:lpstr>Objekt (24)</vt:lpstr>
      <vt:lpstr>Objekt (25)</vt:lpstr>
      <vt:lpstr>Angebotsdatum</vt:lpstr>
      <vt:lpstr>Bieter</vt:lpstr>
      <vt:lpstr>Brutto</vt:lpstr>
      <vt:lpstr>Angebotsübersicht!Druckbereich</vt:lpstr>
      <vt:lpstr>'Objekt (11)'!Drucktitel</vt:lpstr>
      <vt:lpstr>'Objekt (12)'!Drucktitel</vt:lpstr>
      <vt:lpstr>'Objekt (13)'!Drucktitel</vt:lpstr>
      <vt:lpstr>'Objekt (14)'!Drucktitel</vt:lpstr>
      <vt:lpstr>'Objekt (15)'!Drucktitel</vt:lpstr>
      <vt:lpstr>'Objekt (16)'!Drucktitel</vt:lpstr>
      <vt:lpstr>'Objekt (17)'!Drucktitel</vt:lpstr>
      <vt:lpstr>'Objekt (18)'!Drucktitel</vt:lpstr>
      <vt:lpstr>'Objekt (19)'!Drucktitel</vt:lpstr>
      <vt:lpstr>'Objekt (20)'!Drucktitel</vt:lpstr>
      <vt:lpstr>'Objekt (21)'!Drucktitel</vt:lpstr>
      <vt:lpstr>'Objekt (22)'!Drucktitel</vt:lpstr>
      <vt:lpstr>'Objekt (23)'!Drucktitel</vt:lpstr>
      <vt:lpstr>'Objekt (24)'!Drucktitel</vt:lpstr>
      <vt:lpstr>'Objekt (25)'!Drucktitel</vt:lpstr>
      <vt:lpstr>Name_des_Bieters</vt:lpstr>
      <vt:lpstr>Netto</vt:lpstr>
      <vt:lpstr>RT_allgemein</vt:lpstr>
      <vt:lpstr>RT_Kita</vt:lpstr>
      <vt:lpstr>RT_offentl</vt:lpstr>
      <vt:lpstr>RT_Schule</vt:lpstr>
      <vt:lpstr>SVS_GLR</vt:lpstr>
      <vt:lpstr>SVS_GR</vt:lpstr>
      <vt:lpstr>SVS_UR</vt:lpstr>
      <vt:lpstr>Ust</vt:lpstr>
    </vt:vector>
  </TitlesOfParts>
  <Company>Lean Consulting Nord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Ausschreibung Samtgemeinde Lachendorf 2026</dc:title>
  <dc:subject>Kalkulation Unterhaltsreinigung Los 2</dc:subject>
  <dc:creator>Sven Petersen</dc:creator>
  <cp:lastModifiedBy>Singh, Robert</cp:lastModifiedBy>
  <cp:lastPrinted>2026-02-19T11:44:44Z</cp:lastPrinted>
  <dcterms:created xsi:type="dcterms:W3CDTF">2001-05-13T13:46:14Z</dcterms:created>
  <dcterms:modified xsi:type="dcterms:W3CDTF">2026-02-23T12:39:40Z</dcterms:modified>
</cp:coreProperties>
</file>